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9095" windowHeight="8325" activeTab="1"/>
  </bookViews>
  <sheets>
    <sheet name="Экспликация" sheetId="1" r:id="rId1"/>
    <sheet name="Спецификация" sheetId="2" r:id="rId2"/>
    <sheet name="ТК" sheetId="3" r:id="rId3"/>
  </sheets>
  <calcPr calcId="145621"/>
</workbook>
</file>

<file path=xl/calcChain.xml><?xml version="1.0" encoding="utf-8"?>
<calcChain xmlns="http://schemas.openxmlformats.org/spreadsheetml/2006/main">
  <c r="H2" i="3" l="1"/>
  <c r="H64" i="3" s="1"/>
  <c r="E2" i="3"/>
  <c r="F2" i="3" s="1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F5" i="3"/>
  <c r="F7" i="3"/>
  <c r="F23" i="3"/>
  <c r="F39" i="3"/>
  <c r="H3" i="3"/>
  <c r="E63" i="3"/>
  <c r="F63" i="3" s="1"/>
  <c r="E62" i="3"/>
  <c r="F62" i="3" s="1"/>
  <c r="E61" i="3"/>
  <c r="F61" i="3" s="1"/>
  <c r="E60" i="3"/>
  <c r="F60" i="3" s="1"/>
  <c r="E59" i="3"/>
  <c r="F59" i="3" s="1"/>
  <c r="E58" i="3"/>
  <c r="F58" i="3" s="1"/>
  <c r="E57" i="3"/>
  <c r="F57" i="3" s="1"/>
  <c r="E56" i="3"/>
  <c r="F56" i="3" s="1"/>
  <c r="E55" i="3"/>
  <c r="F55" i="3" s="1"/>
  <c r="E54" i="3"/>
  <c r="F54" i="3" s="1"/>
  <c r="E53" i="3"/>
  <c r="F53" i="3" s="1"/>
  <c r="E52" i="3"/>
  <c r="F52" i="3" s="1"/>
  <c r="E51" i="3"/>
  <c r="F51" i="3" s="1"/>
  <c r="E50" i="3"/>
  <c r="F50" i="3" s="1"/>
  <c r="E49" i="3"/>
  <c r="F49" i="3" s="1"/>
  <c r="E48" i="3"/>
  <c r="F48" i="3" s="1"/>
  <c r="E47" i="3"/>
  <c r="F47" i="3" s="1"/>
  <c r="E46" i="3"/>
  <c r="F46" i="3" s="1"/>
  <c r="E45" i="3"/>
  <c r="F45" i="3" s="1"/>
  <c r="E44" i="3"/>
  <c r="F44" i="3" s="1"/>
  <c r="E43" i="3"/>
  <c r="F43" i="3" s="1"/>
  <c r="E42" i="3"/>
  <c r="F42" i="3" s="1"/>
  <c r="E41" i="3"/>
  <c r="F41" i="3" s="1"/>
  <c r="E40" i="3"/>
  <c r="F40" i="3" s="1"/>
  <c r="E38" i="3"/>
  <c r="F38" i="3" s="1"/>
  <c r="E37" i="3"/>
  <c r="F37" i="3" s="1"/>
  <c r="E36" i="3"/>
  <c r="F36" i="3" s="1"/>
  <c r="E35" i="3"/>
  <c r="F35" i="3" s="1"/>
  <c r="E34" i="3"/>
  <c r="F34" i="3" s="1"/>
  <c r="E33" i="3"/>
  <c r="F33" i="3" s="1"/>
  <c r="E32" i="3"/>
  <c r="F32" i="3" s="1"/>
  <c r="E31" i="3"/>
  <c r="F31" i="3" s="1"/>
  <c r="E30" i="3"/>
  <c r="F30" i="3" s="1"/>
  <c r="E29" i="3"/>
  <c r="F29" i="3" s="1"/>
  <c r="E28" i="3"/>
  <c r="F28" i="3" s="1"/>
  <c r="E27" i="3"/>
  <c r="F27" i="3" s="1"/>
  <c r="E26" i="3"/>
  <c r="F26" i="3" s="1"/>
  <c r="E25" i="3"/>
  <c r="F25" i="3" s="1"/>
  <c r="E24" i="3"/>
  <c r="F24" i="3" s="1"/>
  <c r="E22" i="3"/>
  <c r="F22" i="3" s="1"/>
  <c r="E21" i="3"/>
  <c r="F21" i="3" s="1"/>
  <c r="E20" i="3"/>
  <c r="F20" i="3" s="1"/>
  <c r="E19" i="3"/>
  <c r="F19" i="3" s="1"/>
  <c r="E18" i="3"/>
  <c r="F18" i="3" s="1"/>
  <c r="E17" i="3"/>
  <c r="F17" i="3" s="1"/>
  <c r="E16" i="3"/>
  <c r="F16" i="3" s="1"/>
  <c r="E15" i="3"/>
  <c r="F15" i="3" s="1"/>
  <c r="E14" i="3"/>
  <c r="F14" i="3" s="1"/>
  <c r="E13" i="3"/>
  <c r="F13" i="3" s="1"/>
  <c r="E12" i="3"/>
  <c r="F12" i="3" s="1"/>
  <c r="E11" i="3"/>
  <c r="F11" i="3" s="1"/>
  <c r="E10" i="3"/>
  <c r="F10" i="3" s="1"/>
  <c r="E9" i="3"/>
  <c r="F9" i="3" s="1"/>
  <c r="E8" i="3"/>
  <c r="F8" i="3" s="1"/>
  <c r="E6" i="3"/>
  <c r="F6" i="3" s="1"/>
  <c r="E4" i="3"/>
  <c r="F4" i="3" s="1"/>
  <c r="E3" i="3"/>
  <c r="F3" i="3" s="1"/>
  <c r="F64" i="3" l="1"/>
  <c r="M77" i="2" l="1"/>
  <c r="M76" i="2"/>
  <c r="I76" i="2"/>
  <c r="I77" i="2"/>
  <c r="I33" i="2" l="1"/>
  <c r="M32" i="2"/>
  <c r="M30" i="2"/>
  <c r="M31" i="2"/>
  <c r="M33" i="2"/>
  <c r="I30" i="2"/>
  <c r="I31" i="2"/>
  <c r="I32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4" i="2"/>
  <c r="I35" i="2"/>
  <c r="I36" i="2"/>
  <c r="I37" i="2"/>
  <c r="I38" i="2"/>
  <c r="I39" i="2"/>
  <c r="I42" i="2"/>
  <c r="I43" i="2"/>
  <c r="I44" i="2"/>
  <c r="I45" i="2"/>
  <c r="I46" i="2"/>
  <c r="I47" i="2"/>
  <c r="I49" i="2"/>
  <c r="I52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8" i="2"/>
  <c r="I79" i="2"/>
  <c r="I80" i="2"/>
  <c r="M22" i="2"/>
  <c r="M24" i="2"/>
  <c r="M44" i="2"/>
  <c r="M8" i="2"/>
  <c r="M65" i="2"/>
  <c r="M4" i="2"/>
  <c r="M5" i="2"/>
  <c r="M6" i="2"/>
  <c r="M7" i="2"/>
  <c r="M10" i="2"/>
  <c r="M11" i="2"/>
  <c r="M13" i="2"/>
  <c r="M14" i="2"/>
  <c r="M15" i="2"/>
  <c r="M16" i="2"/>
  <c r="M17" i="2"/>
  <c r="M18" i="2"/>
  <c r="M20" i="2"/>
  <c r="M21" i="2"/>
  <c r="M23" i="2"/>
  <c r="M25" i="2"/>
  <c r="M26" i="2"/>
  <c r="M27" i="2"/>
  <c r="M28" i="2"/>
  <c r="M35" i="2"/>
  <c r="M37" i="2"/>
  <c r="M38" i="2"/>
  <c r="M39" i="2"/>
  <c r="M40" i="2"/>
  <c r="M41" i="2"/>
  <c r="M42" i="2"/>
  <c r="M43" i="2"/>
  <c r="M48" i="2"/>
  <c r="M49" i="2"/>
  <c r="M50" i="2"/>
  <c r="M51" i="2"/>
  <c r="M52" i="2"/>
  <c r="M54" i="2"/>
  <c r="M55" i="2"/>
  <c r="M56" i="2"/>
  <c r="M57" i="2"/>
  <c r="M58" i="2"/>
  <c r="M59" i="2"/>
  <c r="M60" i="2"/>
  <c r="M61" i="2"/>
  <c r="M62" i="2"/>
  <c r="M63" i="2"/>
  <c r="M64" i="2"/>
  <c r="M66" i="2"/>
  <c r="M68" i="2"/>
  <c r="M69" i="2"/>
  <c r="M70" i="2"/>
  <c r="M71" i="2"/>
  <c r="M72" i="2"/>
  <c r="M73" i="2"/>
  <c r="M74" i="2"/>
  <c r="M75" i="2"/>
  <c r="M3" i="2"/>
  <c r="H5" i="2"/>
  <c r="I5" i="2" s="1"/>
  <c r="H4" i="2"/>
  <c r="I4" i="2" s="1"/>
  <c r="C12" i="1"/>
  <c r="H81" i="2" l="1"/>
  <c r="M81" i="2"/>
</calcChain>
</file>

<file path=xl/sharedStrings.xml><?xml version="1.0" encoding="utf-8"?>
<sst xmlns="http://schemas.openxmlformats.org/spreadsheetml/2006/main" count="595" uniqueCount="226">
  <si>
    <t>№</t>
  </si>
  <si>
    <t>Наименование</t>
  </si>
  <si>
    <t>Площадь</t>
  </si>
  <si>
    <t>Загрузочная</t>
  </si>
  <si>
    <t>Сухая кладовая</t>
  </si>
  <si>
    <t>Овощной цех</t>
  </si>
  <si>
    <t>Мясной цех</t>
  </si>
  <si>
    <t>Помещение персонала</t>
  </si>
  <si>
    <t>санузел</t>
  </si>
  <si>
    <t>душевая</t>
  </si>
  <si>
    <t>Комната дежурного администратора</t>
  </si>
  <si>
    <t>стойка дежурного администратора</t>
  </si>
  <si>
    <t>Моечная столовой посуды</t>
  </si>
  <si>
    <t>Горячий цех</t>
  </si>
  <si>
    <t>Холодный цех</t>
  </si>
  <si>
    <t>Моечная кухонной посуды</t>
  </si>
  <si>
    <t>Линия раздачи</t>
  </si>
  <si>
    <t>Зал</t>
  </si>
  <si>
    <t>Тех.помещение</t>
  </si>
  <si>
    <t>Электро-щитовая</t>
  </si>
  <si>
    <t>Сборная камера</t>
  </si>
  <si>
    <t>Артикул</t>
  </si>
  <si>
    <t>Производитель</t>
  </si>
  <si>
    <t>Габариты</t>
  </si>
  <si>
    <t>Коментарии</t>
  </si>
  <si>
    <t>Мощность</t>
  </si>
  <si>
    <t>Напряжение</t>
  </si>
  <si>
    <t>Кол-во</t>
  </si>
  <si>
    <t>Цена</t>
  </si>
  <si>
    <t>Стоимость</t>
  </si>
  <si>
    <t>Polair</t>
  </si>
  <si>
    <t>Сплит-система</t>
  </si>
  <si>
    <t>SM 109 SF</t>
  </si>
  <si>
    <t>SB 109 SF</t>
  </si>
  <si>
    <t>Низкотемпературный комплект</t>
  </si>
  <si>
    <t>Стеллаж</t>
  </si>
  <si>
    <t>1000х400х1800</t>
  </si>
  <si>
    <t>Нерж., профильная труба</t>
  </si>
  <si>
    <t>Stillag</t>
  </si>
  <si>
    <t>Подтоварник</t>
  </si>
  <si>
    <t>1800х600х1800</t>
  </si>
  <si>
    <t>800х400х400…420</t>
  </si>
  <si>
    <t>Стол производственный</t>
  </si>
  <si>
    <t>1800х400х1800</t>
  </si>
  <si>
    <t>1500х600х850...870</t>
  </si>
  <si>
    <t>нерж., ванна цельнотянутая 400х500х300, борт</t>
  </si>
  <si>
    <t>Картофелеочистительная машина</t>
  </si>
  <si>
    <t>полка открытая</t>
  </si>
  <si>
    <t>Овощерезательная машина</t>
  </si>
  <si>
    <t>Шкаф холодильный</t>
  </si>
  <si>
    <t>Ванна моечная 2х секционная</t>
  </si>
  <si>
    <t>мясорубка</t>
  </si>
  <si>
    <t>CM107-S (ШХ-0,7)</t>
  </si>
  <si>
    <t>697х2028х854</t>
  </si>
  <si>
    <t>t=0… +6, V=700 л, металл</t>
  </si>
  <si>
    <t>Нерж., профильная труба, сплошная полка, борт</t>
  </si>
  <si>
    <t>полка 5 секций</t>
  </si>
  <si>
    <t>300х350х300</t>
  </si>
  <si>
    <t>ПД-300</t>
  </si>
  <si>
    <t>Полка для разделочных досок</t>
  </si>
  <si>
    <t>FIMAR (Италия)</t>
  </si>
  <si>
    <t>весы</t>
  </si>
  <si>
    <t>Шкаф для одежды</t>
  </si>
  <si>
    <t>Стол для сбора отходов</t>
  </si>
  <si>
    <t>Посудомоечная машина</t>
  </si>
  <si>
    <t xml:space="preserve">Стеллаж </t>
  </si>
  <si>
    <t>Нерж., профильная труба, борт</t>
  </si>
  <si>
    <t>1000х600х850...870</t>
  </si>
  <si>
    <t>нерж., ванна цельнотянутая 400х400х300, борт</t>
  </si>
  <si>
    <t>1000х600х1800</t>
  </si>
  <si>
    <t>душирующее устройство</t>
  </si>
  <si>
    <t>UNOX(Италия)</t>
  </si>
  <si>
    <t>27a</t>
  </si>
  <si>
    <t>стол производственный</t>
  </si>
  <si>
    <t>1200х600х850...870</t>
  </si>
  <si>
    <t>600х600х850...870</t>
  </si>
  <si>
    <t>ВМЦ1-5/6-443Б-П</t>
  </si>
  <si>
    <t>Ванна моечная 1 секционная</t>
  </si>
  <si>
    <t>1200х300х300</t>
  </si>
  <si>
    <t>П-12/3/3</t>
  </si>
  <si>
    <t>зонт пристенный вытяжной</t>
  </si>
  <si>
    <t>1000х1000х350</t>
  </si>
  <si>
    <t>ЗВП-10/10</t>
  </si>
  <si>
    <t>2400х1000х350</t>
  </si>
  <si>
    <t>ЗВП-24/10</t>
  </si>
  <si>
    <t>полка 16 секций</t>
  </si>
  <si>
    <t>800х350х300</t>
  </si>
  <si>
    <t>ПД-800</t>
  </si>
  <si>
    <t>МК-10/7</t>
  </si>
  <si>
    <t>1100х1030х850…870</t>
  </si>
  <si>
    <t>Кассовый модуль</t>
  </si>
  <si>
    <t>МС-7/7</t>
  </si>
  <si>
    <t>630х700х850…870</t>
  </si>
  <si>
    <t>Модуль для столовых приборов</t>
  </si>
  <si>
    <t>1100х1030х1700…1720</t>
  </si>
  <si>
    <t>Витрина охлаждаемая с охлаждаемой ванной</t>
  </si>
  <si>
    <t>МВХ-10/7-В</t>
  </si>
  <si>
    <t>МН-10/7</t>
  </si>
  <si>
    <t>Нейтральный модуль</t>
  </si>
  <si>
    <t>ММ2-15/7-П</t>
  </si>
  <si>
    <t>1500х1030х1230…1250</t>
  </si>
  <si>
    <t>Мармит вторых блюд паровой</t>
  </si>
  <si>
    <t>300 x 300 x 580</t>
  </si>
  <si>
    <t>настольный, автономный, емкость резервуара 15 л (100 чашек)</t>
  </si>
  <si>
    <t>Кипятильник-кофеварочная машина</t>
  </si>
  <si>
    <t>GASTRORAG</t>
  </si>
  <si>
    <t>DK-100</t>
  </si>
  <si>
    <t>390x410x395</t>
  </si>
  <si>
    <t>Кофемашина</t>
  </si>
  <si>
    <t xml:space="preserve"> Royal Cappuccino Redesign </t>
  </si>
  <si>
    <t>ZCF301</t>
  </si>
  <si>
    <t xml:space="preserve">  STARFOOD</t>
  </si>
  <si>
    <t>40х30х52,5см</t>
  </si>
  <si>
    <t>PSP 700 10kg 230v</t>
  </si>
  <si>
    <t>360x480x800</t>
  </si>
  <si>
    <t>производит. 250 кг/ч, загрузка бункера 10 кг</t>
  </si>
  <si>
    <t>AD-10</t>
  </si>
  <si>
    <t>Предел взвешивания - 10 кг, Дискретность - 2 г, Платформа 340х215 мм</t>
  </si>
  <si>
    <t>350х325х105</t>
  </si>
  <si>
    <t>415х420х300</t>
  </si>
  <si>
    <t>t=-5 … +10, V=3 - 10,5 m3, Габариты внешнего блока: (ДхШхВ) 490х320х738 мм</t>
  </si>
  <si>
    <t>t=-20 ...-15, V=3,6 - 9,0 m3, Габариты внешнего блока: (ДхШхВ) 490х320х738 мм</t>
  </si>
  <si>
    <t>AD-5</t>
  </si>
  <si>
    <t>CAS(Корея)</t>
  </si>
  <si>
    <t>Предел взвешивания - 5 кг, Дискретность - 1 г, Платформа 340х215 мм</t>
  </si>
  <si>
    <t>Весы товарные</t>
  </si>
  <si>
    <t>DL-150N</t>
  </si>
  <si>
    <t>Предел взвешивания - 150 кг: Дискретность - 50 г, Платформа 345х465 мм</t>
  </si>
  <si>
    <t>420x655x710</t>
  </si>
  <si>
    <t>Pasquini(Италия)</t>
  </si>
  <si>
    <t>Saeco(Италия)</t>
  </si>
  <si>
    <t>Смеситель, с керамическими кран-буксами, душем, дополнительным краном и поворотным гусаком длиной 250 мм</t>
  </si>
  <si>
    <t xml:space="preserve">Mixer tap B+shower A </t>
  </si>
  <si>
    <t>BISARO/RUB.D.FRIULI</t>
  </si>
  <si>
    <t>Диспенсер для сока</t>
  </si>
  <si>
    <t>ШРМ-АК500</t>
  </si>
  <si>
    <t>Paks</t>
  </si>
  <si>
    <t>500x500x1870</t>
  </si>
  <si>
    <t>Двухсекционные разборные</t>
  </si>
  <si>
    <t>КХН-4,41</t>
  </si>
  <si>
    <t>1360x1960x2200</t>
  </si>
  <si>
    <t>V=4,41 m3</t>
  </si>
  <si>
    <t>СТ-10/4/18-Ц</t>
  </si>
  <si>
    <t>Нерж., оцинкованный каркас</t>
  </si>
  <si>
    <t>СТ-18/6/18-Ц</t>
  </si>
  <si>
    <t>ПТ-8/4/4-Ц</t>
  </si>
  <si>
    <t>ВМЦР-15/6-653Б-Ц</t>
  </si>
  <si>
    <t>СТ-18/4/18-Ц</t>
  </si>
  <si>
    <t>ВМЦ2-10/6-443Б-Ц</t>
  </si>
  <si>
    <t>СТ-10/6/18-Ц</t>
  </si>
  <si>
    <t>ВМЦ1-6/6-453Б-Ц</t>
  </si>
  <si>
    <t>П-15/3/2-Ц</t>
  </si>
  <si>
    <t>1500х300х250</t>
  </si>
  <si>
    <t>12/S</t>
  </si>
  <si>
    <t>250х400х500</t>
  </si>
  <si>
    <t>производительность 160кг/ч</t>
  </si>
  <si>
    <t>800х700х850...870</t>
  </si>
  <si>
    <t>П-10/3/2-Ц</t>
  </si>
  <si>
    <t>П-12/3/2-Ц</t>
  </si>
  <si>
    <t>1000х300х250</t>
  </si>
  <si>
    <t>1200х300х250</t>
  </si>
  <si>
    <t>Kovinastroj (словения)</t>
  </si>
  <si>
    <t>800x700x900</t>
  </si>
  <si>
    <t xml:space="preserve">4 конфорки </t>
  </si>
  <si>
    <t>гладкая сталь</t>
  </si>
  <si>
    <t>Hicold</t>
  </si>
  <si>
    <t>НСО430ЭН-12/6БП</t>
  </si>
  <si>
    <t>НСО430ЭН-10/6БП</t>
  </si>
  <si>
    <t>НСО430ЭН-8/7БП</t>
  </si>
  <si>
    <t xml:space="preserve">Печи медленной готовки/тепловые шкафы </t>
  </si>
  <si>
    <t>XVC 515 EG</t>
  </si>
  <si>
    <t>7уровней GN1/1</t>
  </si>
  <si>
    <t>750х773х1107</t>
  </si>
  <si>
    <t>750х792х773</t>
  </si>
  <si>
    <t>XVL 385</t>
  </si>
  <si>
    <t>PS T47/P</t>
  </si>
  <si>
    <t>PKP T7/60</t>
  </si>
  <si>
    <t>Сковорода опрокид. газовая</t>
  </si>
  <si>
    <t>Плита газовая</t>
  </si>
  <si>
    <t>Мучной цех</t>
  </si>
  <si>
    <t xml:space="preserve">FIP42 </t>
  </si>
  <si>
    <t>18/SN</t>
  </si>
  <si>
    <t>390х670х600</t>
  </si>
  <si>
    <t>Cпиральный тестомес</t>
  </si>
  <si>
    <t>производительность 54 кг/ч, объем дежи 22 л, загрузка теста 18 кг, 0.75кВт, 380В, вес нетто57кг, брутто-70кг</t>
  </si>
  <si>
    <t>590x510x700</t>
  </si>
  <si>
    <t>Тестораскатка</t>
  </si>
  <si>
    <t>вес порции от 220 до 1400 г, диаметр 260-400 мм, 0,37 кВт, 220 В, вес нетто-45кг, брутто-54кг</t>
  </si>
  <si>
    <t>Стол кондитерский</t>
  </si>
  <si>
    <t>столешница - наборный бук, полка-решетка</t>
  </si>
  <si>
    <t>ССП 4/6 П</t>
  </si>
  <si>
    <t>cryspi</t>
  </si>
  <si>
    <t>400х600х850...870</t>
  </si>
  <si>
    <t>Нерж., профильная труба, сплошная полка, столешница полипропилен</t>
  </si>
  <si>
    <t>шпилька</t>
  </si>
  <si>
    <t>ТШ-1</t>
  </si>
  <si>
    <t>1800х700х850...870</t>
  </si>
  <si>
    <t>ССБ 18/7П</t>
  </si>
  <si>
    <t>СО-12/6Б-Ц</t>
  </si>
  <si>
    <t>ВМЦ3-15/6-443Б-Ц</t>
  </si>
  <si>
    <t>СТ-15/6/18-Ц</t>
  </si>
  <si>
    <t>1500х600х1800</t>
  </si>
  <si>
    <t>Ванна моечная 3х секционная</t>
  </si>
  <si>
    <t>AD-48 C</t>
  </si>
  <si>
    <t>Fagor</t>
  </si>
  <si>
    <t>600x600x820</t>
  </si>
  <si>
    <t>фронтального типа, 540 тарелок/час</t>
  </si>
  <si>
    <t>W-MS-20</t>
  </si>
  <si>
    <t>Миксер для коктейлей</t>
  </si>
  <si>
    <t>2 скорости, 2 шпинделя, 2 стакана емкостью 1 л из нерж.стали, материал корпуса - алюминий</t>
  </si>
  <si>
    <t>460x220x510</t>
  </si>
  <si>
    <t>HCM105</t>
  </si>
  <si>
    <t>Фризер мороженого</t>
  </si>
  <si>
    <t>настольный, емкость резервуара 3,3 л, производительность 5-8 кг/ч, материал корпуса - нерж.сталь</t>
  </si>
  <si>
    <t>485х450х525</t>
  </si>
  <si>
    <t>TV 2500</t>
  </si>
  <si>
    <t>220x610x520</t>
  </si>
  <si>
    <t>Печь конвекционная газовая</t>
  </si>
  <si>
    <t>500x500x1860</t>
  </si>
  <si>
    <t>общий</t>
  </si>
  <si>
    <t>итого</t>
  </si>
  <si>
    <t>объем куб.м</t>
  </si>
  <si>
    <t>вес кг</t>
  </si>
  <si>
    <t>Овощерезательная машина с комплектом ножей</t>
  </si>
  <si>
    <t>загрузочное отверстие двойное, из пищевой пластмассы, производительность 100-300 кг/ч, скорость вращения 255 об/мин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</si>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</sst>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</font>
    <font>
      <sz val="10"/>
      <name val="Helv"/>
    </font>
    <font>
      <u/>
      <sz val="10"/>
      <color indexed="12"/>
      <name val="Arial"/>
      <family val="2"/>
      <charset val="204"/>
    </font>
    <font>
      <sz val="11"/>
      <color theme="1"/>
      <name val="Calibri"/>
      <family val="2"/>
      <scheme val="minor"/>
    </font>
    <font>
      <u/>
      <sz val="10"/>
      <color theme="10"/>
      <name val="Arial Cyr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u/>
      <sz val="10"/>
      <color indexed="12"/>
      <name val="Arial Cyr"/>
      <charset val="204"/>
    </font>
    <font>
      <sz val="10"/>
      <color theme="1"/>
      <name val="Arial"/>
      <family val="2"/>
      <charset val="204"/>
    </font>
    <font>
      <sz val="10"/>
      <name val="Arial Cyr"/>
    </font>
    <font>
      <sz val="9"/>
      <name val="Arial"/>
      <family val="2"/>
      <charset val="163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55"/>
      </bottom>
      <diagonal/>
    </border>
  </borders>
  <cellStyleXfs count="35">
    <xf numFmtId="0" fontId="0" fillId="0" borderId="0"/>
    <xf numFmtId="0" fontId="4" fillId="0" borderId="0"/>
    <xf numFmtId="0" fontId="7" fillId="0" borderId="0"/>
    <xf numFmtId="0" fontId="5" fillId="0" borderId="0"/>
    <xf numFmtId="0" fontId="1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" fillId="0" borderId="0"/>
    <xf numFmtId="0" fontId="6" fillId="0" borderId="0">
      <alignment horizontal="left"/>
    </xf>
    <xf numFmtId="9" fontId="5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0" fontId="12" fillId="0" borderId="0"/>
    <xf numFmtId="44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3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17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164" fontId="16" fillId="0" borderId="3" xfId="31" applyNumberFormat="1" applyFont="1" applyFill="1" applyBorder="1" applyAlignment="1">
      <alignment horizontal="center" vertical="center" wrapText="1"/>
    </xf>
    <xf numFmtId="0" fontId="0" fillId="0" borderId="0" xfId="0"/>
    <xf numFmtId="0" fontId="5" fillId="2" borderId="1" xfId="1" applyFont="1" applyFill="1" applyBorder="1" applyAlignment="1">
      <alignment horizontal="left" vertical="center" wrapText="1"/>
    </xf>
    <xf numFmtId="0" fontId="0" fillId="2" borderId="1" xfId="0" applyNumberFormat="1" applyFont="1" applyFill="1" applyBorder="1" applyAlignment="1">
      <alignment horizontal="left" vertical="top" wrapText="1"/>
    </xf>
    <xf numFmtId="0" fontId="18" fillId="0" borderId="1" xfId="34" applyNumberFormat="1" applyFont="1" applyBorder="1" applyAlignment="1">
      <alignment horizontal="left" vertical="top" wrapText="1"/>
    </xf>
    <xf numFmtId="0" fontId="18" fillId="0" borderId="1" xfId="34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0" fontId="19" fillId="0" borderId="0" xfId="0" applyFont="1"/>
    <xf numFmtId="0" fontId="0" fillId="0" borderId="1" xfId="0" applyFill="1" applyBorder="1"/>
    <xf numFmtId="2" fontId="0" fillId="0" borderId="1" xfId="0" applyNumberFormat="1" applyBorder="1" applyAlignment="1">
      <alignment horizontal="center" vertical="center"/>
    </xf>
    <xf numFmtId="2" fontId="18" fillId="0" borderId="1" xfId="34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1" fontId="0" fillId="0" borderId="2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5" fillId="0" borderId="0" xfId="13" applyFont="1" applyFill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2" borderId="1" xfId="0" applyNumberFormat="1" applyFont="1" applyFill="1" applyBorder="1" applyAlignment="1">
      <alignment horizontal="left" vertical="center" wrapText="1"/>
    </xf>
    <xf numFmtId="0" fontId="0" fillId="3" borderId="1" xfId="0" applyFill="1" applyBorder="1" applyAlignment="1">
      <alignment vertical="center"/>
    </xf>
    <xf numFmtId="0" fontId="14" fillId="0" borderId="0" xfId="0" applyFont="1" applyAlignment="1">
      <alignment vertical="center"/>
    </xf>
    <xf numFmtId="0" fontId="18" fillId="0" borderId="1" xfId="34" applyNumberFormat="1" applyFont="1" applyBorder="1" applyAlignment="1">
      <alignment horizontal="left" vertical="center" wrapText="1"/>
    </xf>
    <xf numFmtId="0" fontId="18" fillId="0" borderId="1" xfId="34" applyNumberFormat="1" applyFont="1" applyBorder="1" applyAlignment="1">
      <alignment horizontal="center" vertical="center" wrapText="1"/>
    </xf>
  </cellXfs>
  <cellStyles count="35">
    <cellStyle name="Excel Built-in Normal" xfId="3"/>
    <cellStyle name="Normale 2" xfId="4"/>
    <cellStyle name="Valuta 2" xfId="14"/>
    <cellStyle name="Гиперссылка 2" xfId="6"/>
    <cellStyle name="Гиперссылка 3" xfId="5"/>
    <cellStyle name="Гиперссылка 4" xfId="32"/>
    <cellStyle name="Обычный" xfId="0" builtinId="0"/>
    <cellStyle name="Обычный 10" xfId="15"/>
    <cellStyle name="Обычный 11" xfId="16"/>
    <cellStyle name="Обычный 12" xfId="17"/>
    <cellStyle name="Обычный 13" xfId="18"/>
    <cellStyle name="Обычный 14" xfId="19"/>
    <cellStyle name="Обычный 15" xfId="20"/>
    <cellStyle name="Обычный 16" xfId="21"/>
    <cellStyle name="Обычный 17" xfId="22"/>
    <cellStyle name="Обычный 18" xfId="13"/>
    <cellStyle name="Обычный 19" xfId="34"/>
    <cellStyle name="Обычный 2" xfId="1"/>
    <cellStyle name="Обычный 2 2" xfId="7"/>
    <cellStyle name="Обычный 2 3" xfId="23"/>
    <cellStyle name="Обычный 3" xfId="8"/>
    <cellStyle name="Обычный 3 2" xfId="24"/>
    <cellStyle name="Обычный 4" xfId="9"/>
    <cellStyle name="Обычный 4 2" xfId="25"/>
    <cellStyle name="Обычный 5" xfId="2"/>
    <cellStyle name="Обычный 5 2" xfId="26"/>
    <cellStyle name="Обычный 6" xfId="27"/>
    <cellStyle name="Обычный 7" xfId="28"/>
    <cellStyle name="Обычный 8" xfId="29"/>
    <cellStyle name="Обычный 9" xfId="30"/>
    <cellStyle name="Процентный 2" xfId="10"/>
    <cellStyle name="Стиль 1" xfId="11"/>
    <cellStyle name="Финансовый" xfId="31" builtinId="3"/>
    <cellStyle name="Финансовый 2" xfId="12"/>
    <cellStyle name="Финансовый 3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B33" sqref="B33"/>
    </sheetView>
  </sheetViews>
  <sheetFormatPr defaultRowHeight="15" x14ac:dyDescent="0.25"/>
  <cols>
    <col min="1" max="1" width="6.42578125" customWidth="1"/>
    <col min="2" max="2" width="34.85546875" customWidth="1"/>
  </cols>
  <sheetData>
    <row r="1" spans="1:3" x14ac:dyDescent="0.25">
      <c r="A1" s="5" t="s">
        <v>0</v>
      </c>
      <c r="B1" s="5" t="s">
        <v>1</v>
      </c>
      <c r="C1" s="5" t="s">
        <v>2</v>
      </c>
    </row>
    <row r="2" spans="1:3" x14ac:dyDescent="0.25">
      <c r="A2" s="5">
        <v>1</v>
      </c>
      <c r="B2" s="5" t="s">
        <v>3</v>
      </c>
      <c r="C2" s="5">
        <v>9.8379999999999992</v>
      </c>
    </row>
    <row r="3" spans="1:3" x14ac:dyDescent="0.25">
      <c r="A3" s="5">
        <v>2</v>
      </c>
      <c r="B3" s="5" t="s">
        <v>4</v>
      </c>
      <c r="C3" s="5">
        <v>5.36</v>
      </c>
    </row>
    <row r="4" spans="1:3" x14ac:dyDescent="0.25">
      <c r="A4" s="5">
        <v>3</v>
      </c>
      <c r="B4" s="5" t="s">
        <v>5</v>
      </c>
      <c r="C4" s="5">
        <v>6.05</v>
      </c>
    </row>
    <row r="5" spans="1:3" x14ac:dyDescent="0.25">
      <c r="A5" s="5">
        <v>4</v>
      </c>
      <c r="B5" s="5" t="s">
        <v>6</v>
      </c>
      <c r="C5" s="5">
        <v>6.07</v>
      </c>
    </row>
    <row r="6" spans="1:3" x14ac:dyDescent="0.25">
      <c r="A6" s="5">
        <v>5</v>
      </c>
      <c r="B6" s="5" t="s">
        <v>179</v>
      </c>
      <c r="C6" s="5">
        <v>4.47</v>
      </c>
    </row>
    <row r="7" spans="1:3" x14ac:dyDescent="0.25">
      <c r="A7" s="5">
        <v>6</v>
      </c>
      <c r="B7" s="5" t="s">
        <v>7</v>
      </c>
      <c r="C7" s="5">
        <v>5.56</v>
      </c>
    </row>
    <row r="8" spans="1:3" x14ac:dyDescent="0.25">
      <c r="A8" s="5">
        <v>7</v>
      </c>
      <c r="B8" s="5" t="s">
        <v>8</v>
      </c>
      <c r="C8" s="5">
        <v>2.4900000000000002</v>
      </c>
    </row>
    <row r="9" spans="1:3" x14ac:dyDescent="0.25">
      <c r="A9" s="5">
        <v>8</v>
      </c>
      <c r="B9" s="5" t="s">
        <v>9</v>
      </c>
      <c r="C9" s="5">
        <v>2.09</v>
      </c>
    </row>
    <row r="10" spans="1:3" x14ac:dyDescent="0.25">
      <c r="A10" s="5">
        <v>9</v>
      </c>
      <c r="B10" s="5" t="s">
        <v>10</v>
      </c>
      <c r="C10" s="5">
        <v>5.27</v>
      </c>
    </row>
    <row r="11" spans="1:3" x14ac:dyDescent="0.25">
      <c r="A11" s="5">
        <v>10</v>
      </c>
      <c r="B11" s="5" t="s">
        <v>11</v>
      </c>
      <c r="C11" s="5">
        <v>3.14</v>
      </c>
    </row>
    <row r="12" spans="1:3" x14ac:dyDescent="0.25">
      <c r="A12" s="5">
        <v>11</v>
      </c>
      <c r="B12" s="5" t="s">
        <v>8</v>
      </c>
      <c r="C12" s="5">
        <f>1.68+1.73</f>
        <v>3.41</v>
      </c>
    </row>
    <row r="13" spans="1:3" x14ac:dyDescent="0.25">
      <c r="A13" s="5">
        <v>12</v>
      </c>
      <c r="B13" s="5" t="s">
        <v>12</v>
      </c>
      <c r="C13" s="5">
        <v>9.9499999999999993</v>
      </c>
    </row>
    <row r="14" spans="1:3" x14ac:dyDescent="0.25">
      <c r="A14" s="5">
        <v>13</v>
      </c>
      <c r="B14" s="5" t="s">
        <v>13</v>
      </c>
      <c r="C14" s="5">
        <v>16.8</v>
      </c>
    </row>
    <row r="15" spans="1:3" x14ac:dyDescent="0.25">
      <c r="A15" s="5">
        <v>14</v>
      </c>
      <c r="B15" s="5" t="s">
        <v>14</v>
      </c>
      <c r="C15" s="5">
        <v>5.23</v>
      </c>
    </row>
    <row r="16" spans="1:3" x14ac:dyDescent="0.25">
      <c r="A16" s="5">
        <v>15</v>
      </c>
      <c r="B16" s="5" t="s">
        <v>15</v>
      </c>
      <c r="C16" s="5">
        <v>2.6</v>
      </c>
    </row>
    <row r="17" spans="1:3" x14ac:dyDescent="0.25">
      <c r="A17" s="5">
        <v>16</v>
      </c>
      <c r="B17" s="5" t="s">
        <v>16</v>
      </c>
      <c r="C17" s="5">
        <v>19.82</v>
      </c>
    </row>
    <row r="18" spans="1:3" x14ac:dyDescent="0.25">
      <c r="A18" s="5">
        <v>17</v>
      </c>
      <c r="B18" s="5" t="s">
        <v>18</v>
      </c>
      <c r="C18" s="5">
        <v>20.07</v>
      </c>
    </row>
    <row r="19" spans="1:3" x14ac:dyDescent="0.25">
      <c r="A19" s="5">
        <v>18</v>
      </c>
      <c r="B19" s="5" t="s">
        <v>19</v>
      </c>
      <c r="C19" s="5">
        <v>4.68</v>
      </c>
    </row>
    <row r="20" spans="1:3" x14ac:dyDescent="0.25">
      <c r="A20" s="5">
        <v>19</v>
      </c>
      <c r="B20" s="5" t="s">
        <v>17</v>
      </c>
      <c r="C20" s="5">
        <v>67.900000000000006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tabSelected="1" workbookViewId="0">
      <selection activeCell="N81" sqref="N81"/>
    </sheetView>
  </sheetViews>
  <sheetFormatPr defaultRowHeight="15" x14ac:dyDescent="0.25"/>
  <cols>
    <col min="1" max="1" width="6.140625" style="1" customWidth="1"/>
    <col min="2" max="2" width="6.42578125" style="1" customWidth="1"/>
    <col min="3" max="3" width="34.85546875" style="37" customWidth="1"/>
    <col min="4" max="4" width="21" style="37" customWidth="1"/>
    <col min="5" max="5" width="23.28515625" style="37" customWidth="1"/>
    <col min="6" max="6" width="20" style="1" customWidth="1"/>
    <col min="7" max="7" width="48.85546875" style="2" customWidth="1"/>
    <col min="8" max="8" width="10" style="37" customWidth="1"/>
    <col min="9" max="9" width="10" style="37" hidden="1" customWidth="1"/>
    <col min="10" max="10" width="12.85546875" style="37" customWidth="1"/>
    <col min="11" max="11" width="9.140625" style="37"/>
    <col min="12" max="12" width="9.140625" style="37" customWidth="1"/>
    <col min="13" max="13" width="11" style="37" customWidth="1"/>
    <col min="14" max="16384" width="9.140625" style="37"/>
  </cols>
  <sheetData>
    <row r="1" spans="1:13" s="1" customFormat="1" x14ac:dyDescent="0.25">
      <c r="A1" s="4" t="s">
        <v>0</v>
      </c>
      <c r="B1" s="4" t="s">
        <v>0</v>
      </c>
      <c r="C1" s="4" t="s">
        <v>1</v>
      </c>
      <c r="D1" s="4" t="s">
        <v>21</v>
      </c>
      <c r="E1" s="4" t="s">
        <v>22</v>
      </c>
      <c r="F1" s="4" t="s">
        <v>23</v>
      </c>
      <c r="G1" s="4" t="s">
        <v>24</v>
      </c>
      <c r="H1" s="4" t="s">
        <v>25</v>
      </c>
      <c r="I1" s="4"/>
      <c r="J1" s="4" t="s">
        <v>26</v>
      </c>
      <c r="K1" s="4" t="s">
        <v>27</v>
      </c>
      <c r="L1" s="10" t="s">
        <v>28</v>
      </c>
      <c r="M1" s="4" t="s">
        <v>29</v>
      </c>
    </row>
    <row r="2" spans="1:13" x14ac:dyDescent="0.25">
      <c r="A2" s="4"/>
      <c r="B2" s="4">
        <v>1</v>
      </c>
      <c r="C2" s="36" t="s">
        <v>3</v>
      </c>
      <c r="D2" s="32"/>
      <c r="E2" s="32"/>
      <c r="F2" s="4"/>
      <c r="G2" s="7"/>
      <c r="H2" s="32"/>
      <c r="I2" s="32"/>
      <c r="J2" s="32"/>
      <c r="K2" s="32"/>
      <c r="L2" s="31"/>
      <c r="M2" s="32"/>
    </row>
    <row r="3" spans="1:13" x14ac:dyDescent="0.25">
      <c r="A3" s="4">
        <v>1</v>
      </c>
      <c r="B3" s="4"/>
      <c r="C3" s="32" t="s">
        <v>20</v>
      </c>
      <c r="D3" s="32" t="s">
        <v>139</v>
      </c>
      <c r="E3" s="32" t="s">
        <v>30</v>
      </c>
      <c r="F3" s="4" t="s">
        <v>140</v>
      </c>
      <c r="G3" s="8" t="s">
        <v>141</v>
      </c>
      <c r="H3" s="38"/>
      <c r="I3" s="38"/>
      <c r="J3" s="32"/>
      <c r="K3" s="32">
        <v>2</v>
      </c>
      <c r="L3" s="33">
        <v>44265.743999999999</v>
      </c>
      <c r="M3" s="34">
        <f>K3*L3</f>
        <v>88531.487999999998</v>
      </c>
    </row>
    <row r="4" spans="1:13" x14ac:dyDescent="0.25">
      <c r="A4" s="4">
        <v>2</v>
      </c>
      <c r="B4" s="4"/>
      <c r="C4" s="32" t="s">
        <v>31</v>
      </c>
      <c r="D4" s="32" t="s">
        <v>32</v>
      </c>
      <c r="E4" s="32" t="s">
        <v>30</v>
      </c>
      <c r="F4" s="4" t="s">
        <v>119</v>
      </c>
      <c r="G4" s="8" t="s">
        <v>120</v>
      </c>
      <c r="H4" s="38">
        <f>10/24</f>
        <v>0.41666666666666669</v>
      </c>
      <c r="I4" s="38">
        <f>H4*K4</f>
        <v>0.41666666666666669</v>
      </c>
      <c r="J4" s="32">
        <v>220</v>
      </c>
      <c r="K4" s="32">
        <v>1</v>
      </c>
      <c r="L4" s="33">
        <v>45200</v>
      </c>
      <c r="M4" s="34">
        <f t="shared" ref="M4:M71" si="0">K4*L4</f>
        <v>45200</v>
      </c>
    </row>
    <row r="5" spans="1:13" x14ac:dyDescent="0.25">
      <c r="A5" s="4">
        <v>3</v>
      </c>
      <c r="B5" s="4"/>
      <c r="C5" s="32" t="s">
        <v>31</v>
      </c>
      <c r="D5" s="32" t="s">
        <v>33</v>
      </c>
      <c r="E5" s="32" t="s">
        <v>30</v>
      </c>
      <c r="F5" s="4" t="s">
        <v>119</v>
      </c>
      <c r="G5" s="8" t="s">
        <v>121</v>
      </c>
      <c r="H5" s="38">
        <f>25/24</f>
        <v>1.0416666666666667</v>
      </c>
      <c r="I5" s="38">
        <f t="shared" ref="I5:I71" si="1">H5*K5</f>
        <v>1.0416666666666667</v>
      </c>
      <c r="J5" s="32">
        <v>220</v>
      </c>
      <c r="K5" s="32">
        <v>1</v>
      </c>
      <c r="L5" s="33">
        <v>64740</v>
      </c>
      <c r="M5" s="34">
        <f t="shared" si="0"/>
        <v>64740</v>
      </c>
    </row>
    <row r="6" spans="1:13" x14ac:dyDescent="0.25">
      <c r="A6" s="4">
        <v>4</v>
      </c>
      <c r="B6" s="4"/>
      <c r="C6" s="32" t="s">
        <v>34</v>
      </c>
      <c r="D6" s="32"/>
      <c r="E6" s="32"/>
      <c r="F6" s="4"/>
      <c r="G6" s="8"/>
      <c r="H6" s="32"/>
      <c r="I6" s="38">
        <f t="shared" si="1"/>
        <v>0</v>
      </c>
      <c r="J6" s="32"/>
      <c r="K6" s="32">
        <v>2</v>
      </c>
      <c r="L6" s="33">
        <v>1300</v>
      </c>
      <c r="M6" s="34">
        <f t="shared" si="0"/>
        <v>2600</v>
      </c>
    </row>
    <row r="7" spans="1:13" x14ac:dyDescent="0.25">
      <c r="A7" s="4">
        <v>5</v>
      </c>
      <c r="B7" s="4"/>
      <c r="C7" s="32" t="s">
        <v>35</v>
      </c>
      <c r="D7" s="32" t="s">
        <v>142</v>
      </c>
      <c r="E7" s="32" t="s">
        <v>38</v>
      </c>
      <c r="F7" s="4" t="s">
        <v>36</v>
      </c>
      <c r="G7" s="8" t="s">
        <v>143</v>
      </c>
      <c r="H7" s="38"/>
      <c r="I7" s="38">
        <f t="shared" si="1"/>
        <v>0</v>
      </c>
      <c r="J7" s="32"/>
      <c r="K7" s="32">
        <v>4</v>
      </c>
      <c r="L7" s="33">
        <v>5823.4050000000007</v>
      </c>
      <c r="M7" s="34">
        <f t="shared" si="0"/>
        <v>23293.620000000003</v>
      </c>
    </row>
    <row r="8" spans="1:13" x14ac:dyDescent="0.25">
      <c r="A8" s="4">
        <v>48</v>
      </c>
      <c r="B8" s="4"/>
      <c r="C8" s="32" t="s">
        <v>125</v>
      </c>
      <c r="D8" s="32" t="s">
        <v>126</v>
      </c>
      <c r="E8" s="32" t="s">
        <v>123</v>
      </c>
      <c r="F8" s="4" t="s">
        <v>128</v>
      </c>
      <c r="G8" s="8" t="s">
        <v>127</v>
      </c>
      <c r="H8" s="32">
        <v>0.01</v>
      </c>
      <c r="I8" s="38">
        <f t="shared" si="1"/>
        <v>0.01</v>
      </c>
      <c r="J8" s="32">
        <v>220</v>
      </c>
      <c r="K8" s="32">
        <v>1</v>
      </c>
      <c r="L8" s="33">
        <v>11034.8238</v>
      </c>
      <c r="M8" s="34">
        <f t="shared" si="0"/>
        <v>11034.8238</v>
      </c>
    </row>
    <row r="9" spans="1:13" x14ac:dyDescent="0.25">
      <c r="A9" s="4"/>
      <c r="B9" s="9">
        <v>2</v>
      </c>
      <c r="C9" s="36" t="s">
        <v>4</v>
      </c>
      <c r="D9" s="32"/>
      <c r="E9" s="32"/>
      <c r="F9" s="4"/>
      <c r="G9" s="7"/>
      <c r="H9" s="32"/>
      <c r="I9" s="38">
        <f t="shared" si="1"/>
        <v>0</v>
      </c>
      <c r="J9" s="32"/>
      <c r="K9" s="32"/>
      <c r="L9" s="10"/>
      <c r="M9" s="34"/>
    </row>
    <row r="10" spans="1:13" x14ac:dyDescent="0.25">
      <c r="A10" s="4">
        <v>6</v>
      </c>
      <c r="B10" s="4"/>
      <c r="C10" s="32" t="s">
        <v>35</v>
      </c>
      <c r="D10" s="32" t="s">
        <v>144</v>
      </c>
      <c r="E10" s="32" t="s">
        <v>38</v>
      </c>
      <c r="F10" s="4" t="s">
        <v>40</v>
      </c>
      <c r="G10" s="8" t="s">
        <v>143</v>
      </c>
      <c r="H10" s="38"/>
      <c r="I10" s="38">
        <f t="shared" si="1"/>
        <v>0</v>
      </c>
      <c r="J10" s="32"/>
      <c r="K10" s="32">
        <v>2</v>
      </c>
      <c r="L10" s="33">
        <v>12008.43</v>
      </c>
      <c r="M10" s="34">
        <f t="shared" si="0"/>
        <v>24016.86</v>
      </c>
    </row>
    <row r="11" spans="1:13" x14ac:dyDescent="0.25">
      <c r="A11" s="4">
        <v>7</v>
      </c>
      <c r="B11" s="4"/>
      <c r="C11" s="32" t="s">
        <v>39</v>
      </c>
      <c r="D11" s="32" t="s">
        <v>145</v>
      </c>
      <c r="E11" s="32" t="s">
        <v>38</v>
      </c>
      <c r="F11" s="4" t="s">
        <v>41</v>
      </c>
      <c r="G11" s="8" t="s">
        <v>143</v>
      </c>
      <c r="H11" s="38"/>
      <c r="I11" s="38">
        <f t="shared" si="1"/>
        <v>0</v>
      </c>
      <c r="J11" s="32"/>
      <c r="K11" s="32">
        <v>1</v>
      </c>
      <c r="L11" s="33">
        <v>3205.4400000000005</v>
      </c>
      <c r="M11" s="34">
        <f t="shared" si="0"/>
        <v>3205.4400000000005</v>
      </c>
    </row>
    <row r="12" spans="1:13" x14ac:dyDescent="0.25">
      <c r="A12" s="4"/>
      <c r="B12" s="9">
        <v>3</v>
      </c>
      <c r="C12" s="36" t="s">
        <v>5</v>
      </c>
      <c r="D12" s="32"/>
      <c r="E12" s="32"/>
      <c r="F12" s="4"/>
      <c r="G12" s="7"/>
      <c r="H12" s="32"/>
      <c r="I12" s="38">
        <f t="shared" si="1"/>
        <v>0</v>
      </c>
      <c r="J12" s="32"/>
      <c r="K12" s="32"/>
      <c r="L12" s="10"/>
      <c r="M12" s="34"/>
    </row>
    <row r="13" spans="1:13" x14ac:dyDescent="0.25">
      <c r="A13" s="4">
        <v>7</v>
      </c>
      <c r="B13" s="4"/>
      <c r="C13" s="32" t="s">
        <v>39</v>
      </c>
      <c r="D13" s="32" t="s">
        <v>145</v>
      </c>
      <c r="E13" s="32" t="s">
        <v>38</v>
      </c>
      <c r="F13" s="4" t="s">
        <v>41</v>
      </c>
      <c r="G13" s="8" t="s">
        <v>143</v>
      </c>
      <c r="H13" s="38"/>
      <c r="I13" s="38">
        <f t="shared" si="1"/>
        <v>0</v>
      </c>
      <c r="J13" s="32"/>
      <c r="K13" s="32">
        <v>1</v>
      </c>
      <c r="L13" s="33">
        <v>3205.4400000000005</v>
      </c>
      <c r="M13" s="34">
        <f t="shared" si="0"/>
        <v>3205.4400000000005</v>
      </c>
    </row>
    <row r="14" spans="1:13" x14ac:dyDescent="0.25">
      <c r="A14" s="4">
        <v>8</v>
      </c>
      <c r="B14" s="4"/>
      <c r="C14" s="32" t="s">
        <v>42</v>
      </c>
      <c r="D14" s="32" t="s">
        <v>146</v>
      </c>
      <c r="E14" s="32" t="s">
        <v>38</v>
      </c>
      <c r="F14" s="4" t="s">
        <v>44</v>
      </c>
      <c r="G14" s="8" t="s">
        <v>45</v>
      </c>
      <c r="H14" s="38"/>
      <c r="I14" s="38">
        <f t="shared" si="1"/>
        <v>0</v>
      </c>
      <c r="J14" s="32"/>
      <c r="K14" s="32">
        <v>1</v>
      </c>
      <c r="L14" s="33">
        <v>12379.5</v>
      </c>
      <c r="M14" s="34">
        <f t="shared" si="0"/>
        <v>12379.5</v>
      </c>
    </row>
    <row r="15" spans="1:13" x14ac:dyDescent="0.25">
      <c r="A15" s="4">
        <v>9</v>
      </c>
      <c r="B15" s="4"/>
      <c r="C15" s="32" t="s">
        <v>35</v>
      </c>
      <c r="D15" s="32" t="s">
        <v>147</v>
      </c>
      <c r="E15" s="32" t="s">
        <v>38</v>
      </c>
      <c r="F15" s="4" t="s">
        <v>43</v>
      </c>
      <c r="G15" s="8" t="s">
        <v>143</v>
      </c>
      <c r="H15" s="38"/>
      <c r="I15" s="38">
        <f t="shared" si="1"/>
        <v>0</v>
      </c>
      <c r="J15" s="32"/>
      <c r="K15" s="32">
        <v>1</v>
      </c>
      <c r="L15" s="33">
        <v>9419.760000000002</v>
      </c>
      <c r="M15" s="34">
        <f t="shared" si="0"/>
        <v>9419.760000000002</v>
      </c>
    </row>
    <row r="16" spans="1:13" x14ac:dyDescent="0.25">
      <c r="A16" s="4">
        <v>10</v>
      </c>
      <c r="B16" s="4"/>
      <c r="C16" s="32" t="s">
        <v>47</v>
      </c>
      <c r="D16" s="32" t="s">
        <v>151</v>
      </c>
      <c r="E16" s="32" t="s">
        <v>38</v>
      </c>
      <c r="F16" s="4" t="s">
        <v>152</v>
      </c>
      <c r="G16" s="8"/>
      <c r="H16" s="38"/>
      <c r="I16" s="38">
        <f t="shared" si="1"/>
        <v>0</v>
      </c>
      <c r="J16" s="32"/>
      <c r="K16" s="32">
        <v>1</v>
      </c>
      <c r="L16" s="33">
        <v>1933.4700000000003</v>
      </c>
      <c r="M16" s="34">
        <f t="shared" si="0"/>
        <v>1933.4700000000003</v>
      </c>
    </row>
    <row r="17" spans="1:15" x14ac:dyDescent="0.25">
      <c r="A17" s="4">
        <v>11</v>
      </c>
      <c r="B17" s="4"/>
      <c r="C17" s="32" t="s">
        <v>46</v>
      </c>
      <c r="D17" s="32" t="s">
        <v>113</v>
      </c>
      <c r="E17" s="32" t="s">
        <v>129</v>
      </c>
      <c r="F17" s="4" t="s">
        <v>114</v>
      </c>
      <c r="G17" s="8" t="s">
        <v>115</v>
      </c>
      <c r="H17" s="32">
        <v>1</v>
      </c>
      <c r="I17" s="38">
        <f t="shared" si="1"/>
        <v>1</v>
      </c>
      <c r="J17" s="32">
        <v>220</v>
      </c>
      <c r="K17" s="32">
        <v>1</v>
      </c>
      <c r="L17" s="33">
        <v>55502</v>
      </c>
      <c r="M17" s="34">
        <f t="shared" si="0"/>
        <v>55502</v>
      </c>
    </row>
    <row r="18" spans="1:15" ht="38.25" x14ac:dyDescent="0.25">
      <c r="A18" s="4">
        <v>12</v>
      </c>
      <c r="B18" s="4"/>
      <c r="C18" s="32" t="s">
        <v>223</v>
      </c>
      <c r="D18" s="39" t="s">
        <v>215</v>
      </c>
      <c r="E18" s="32" t="s">
        <v>60</v>
      </c>
      <c r="F18" s="4" t="s">
        <v>216</v>
      </c>
      <c r="G18" s="29" t="s">
        <v>224</v>
      </c>
      <c r="H18" s="32">
        <v>0.37</v>
      </c>
      <c r="I18" s="38">
        <f t="shared" si="1"/>
        <v>0.37</v>
      </c>
      <c r="J18" s="32">
        <v>220</v>
      </c>
      <c r="K18" s="32">
        <v>1</v>
      </c>
      <c r="L18" s="35">
        <v>33973.795212937403</v>
      </c>
      <c r="M18" s="34">
        <f t="shared" si="0"/>
        <v>33973.795212937403</v>
      </c>
    </row>
    <row r="19" spans="1:15" x14ac:dyDescent="0.25">
      <c r="A19" s="4"/>
      <c r="B19" s="9">
        <v>4</v>
      </c>
      <c r="C19" s="36" t="s">
        <v>6</v>
      </c>
      <c r="D19" s="32"/>
      <c r="E19" s="32"/>
      <c r="F19" s="4"/>
      <c r="G19" s="7"/>
      <c r="H19" s="32"/>
      <c r="I19" s="38">
        <f t="shared" si="1"/>
        <v>0</v>
      </c>
      <c r="J19" s="32"/>
      <c r="K19" s="32"/>
      <c r="L19" s="10"/>
      <c r="M19" s="34"/>
    </row>
    <row r="20" spans="1:15" x14ac:dyDescent="0.25">
      <c r="A20" s="4">
        <v>13</v>
      </c>
      <c r="B20" s="4"/>
      <c r="C20" s="32" t="s">
        <v>49</v>
      </c>
      <c r="D20" s="32" t="s">
        <v>52</v>
      </c>
      <c r="E20" s="32" t="s">
        <v>30</v>
      </c>
      <c r="F20" s="4" t="s">
        <v>53</v>
      </c>
      <c r="G20" s="8" t="s">
        <v>54</v>
      </c>
      <c r="H20" s="32">
        <v>0.35</v>
      </c>
      <c r="I20" s="38">
        <f t="shared" si="1"/>
        <v>0.35</v>
      </c>
      <c r="J20" s="32">
        <v>220</v>
      </c>
      <c r="K20" s="32">
        <v>1</v>
      </c>
      <c r="L20" s="33">
        <v>37700</v>
      </c>
      <c r="M20" s="34">
        <f t="shared" si="0"/>
        <v>37700</v>
      </c>
    </row>
    <row r="21" spans="1:15" ht="25.5" x14ac:dyDescent="0.25">
      <c r="A21" s="4">
        <v>14</v>
      </c>
      <c r="B21" s="4"/>
      <c r="C21" s="32" t="s">
        <v>42</v>
      </c>
      <c r="D21" s="32" t="s">
        <v>190</v>
      </c>
      <c r="E21" s="32" t="s">
        <v>191</v>
      </c>
      <c r="F21" s="4" t="s">
        <v>192</v>
      </c>
      <c r="G21" s="29" t="s">
        <v>193</v>
      </c>
      <c r="H21" s="38"/>
      <c r="I21" s="38">
        <f t="shared" si="1"/>
        <v>0</v>
      </c>
      <c r="J21" s="32"/>
      <c r="K21" s="32">
        <v>1</v>
      </c>
      <c r="L21" s="12">
        <v>9286.8255000000008</v>
      </c>
      <c r="M21" s="34">
        <f t="shared" si="0"/>
        <v>9286.8255000000008</v>
      </c>
    </row>
    <row r="22" spans="1:15" x14ac:dyDescent="0.25">
      <c r="A22" s="4">
        <v>33</v>
      </c>
      <c r="B22" s="4"/>
      <c r="C22" s="32" t="s">
        <v>73</v>
      </c>
      <c r="D22" s="32" t="s">
        <v>166</v>
      </c>
      <c r="E22" s="32" t="s">
        <v>165</v>
      </c>
      <c r="F22" s="4" t="s">
        <v>74</v>
      </c>
      <c r="G22" s="8" t="s">
        <v>55</v>
      </c>
      <c r="H22" s="38"/>
      <c r="I22" s="38">
        <f t="shared" si="1"/>
        <v>0</v>
      </c>
      <c r="J22" s="32"/>
      <c r="K22" s="32">
        <v>2</v>
      </c>
      <c r="L22" s="33">
        <v>6405</v>
      </c>
      <c r="M22" s="34">
        <f t="shared" si="0"/>
        <v>12810</v>
      </c>
    </row>
    <row r="23" spans="1:15" x14ac:dyDescent="0.25">
      <c r="A23" s="4">
        <v>36</v>
      </c>
      <c r="B23" s="4"/>
      <c r="C23" s="32" t="s">
        <v>47</v>
      </c>
      <c r="D23" s="32" t="s">
        <v>79</v>
      </c>
      <c r="E23" s="32" t="s">
        <v>38</v>
      </c>
      <c r="F23" s="4" t="s">
        <v>78</v>
      </c>
      <c r="G23" s="8"/>
      <c r="H23" s="32"/>
      <c r="I23" s="38">
        <f t="shared" si="1"/>
        <v>0</v>
      </c>
      <c r="J23" s="32"/>
      <c r="K23" s="32">
        <v>1</v>
      </c>
      <c r="L23" s="33">
        <v>1823.8</v>
      </c>
      <c r="M23" s="34">
        <f t="shared" si="0"/>
        <v>1823.8</v>
      </c>
    </row>
    <row r="24" spans="1:15" x14ac:dyDescent="0.25">
      <c r="A24" s="4">
        <v>34</v>
      </c>
      <c r="B24" s="4"/>
      <c r="C24" s="32" t="s">
        <v>77</v>
      </c>
      <c r="D24" s="32" t="s">
        <v>76</v>
      </c>
      <c r="E24" s="32" t="s">
        <v>38</v>
      </c>
      <c r="F24" s="4" t="s">
        <v>75</v>
      </c>
      <c r="G24" s="8" t="s">
        <v>68</v>
      </c>
      <c r="H24" s="32"/>
      <c r="I24" s="38">
        <f t="shared" si="1"/>
        <v>0</v>
      </c>
      <c r="J24" s="32"/>
      <c r="K24" s="32">
        <v>2</v>
      </c>
      <c r="L24" s="33">
        <v>9798.6</v>
      </c>
      <c r="M24" s="34">
        <f>K24*L24</f>
        <v>19597.2</v>
      </c>
    </row>
    <row r="25" spans="1:15" x14ac:dyDescent="0.25">
      <c r="A25" s="4">
        <v>10</v>
      </c>
      <c r="B25" s="4"/>
      <c r="C25" s="32" t="s">
        <v>47</v>
      </c>
      <c r="D25" s="32" t="s">
        <v>151</v>
      </c>
      <c r="E25" s="32" t="s">
        <v>38</v>
      </c>
      <c r="F25" s="4" t="s">
        <v>152</v>
      </c>
      <c r="G25" s="8"/>
      <c r="H25" s="38"/>
      <c r="I25" s="38">
        <f t="shared" si="1"/>
        <v>0</v>
      </c>
      <c r="J25" s="32"/>
      <c r="K25" s="32">
        <v>1</v>
      </c>
      <c r="L25" s="33">
        <v>1933.4700000000003</v>
      </c>
      <c r="M25" s="34">
        <f t="shared" si="0"/>
        <v>1933.4700000000003</v>
      </c>
    </row>
    <row r="26" spans="1:15" x14ac:dyDescent="0.25">
      <c r="A26" s="4">
        <v>16</v>
      </c>
      <c r="B26" s="4"/>
      <c r="C26" s="32" t="s">
        <v>59</v>
      </c>
      <c r="D26" s="32" t="s">
        <v>58</v>
      </c>
      <c r="E26" s="32" t="s">
        <v>38</v>
      </c>
      <c r="F26" s="4" t="s">
        <v>57</v>
      </c>
      <c r="G26" s="8" t="s">
        <v>56</v>
      </c>
      <c r="H26" s="32"/>
      <c r="I26" s="38">
        <f t="shared" si="1"/>
        <v>0</v>
      </c>
      <c r="J26" s="32"/>
      <c r="K26" s="32">
        <v>1</v>
      </c>
      <c r="L26" s="33">
        <v>2840.25</v>
      </c>
      <c r="M26" s="34">
        <f t="shared" si="0"/>
        <v>2840.25</v>
      </c>
    </row>
    <row r="27" spans="1:15" x14ac:dyDescent="0.25">
      <c r="A27" s="4">
        <v>17</v>
      </c>
      <c r="B27" s="4"/>
      <c r="C27" s="32" t="s">
        <v>51</v>
      </c>
      <c r="D27" s="32" t="s">
        <v>153</v>
      </c>
      <c r="E27" s="32" t="s">
        <v>60</v>
      </c>
      <c r="F27" s="4" t="s">
        <v>154</v>
      </c>
      <c r="G27" s="8" t="s">
        <v>155</v>
      </c>
      <c r="H27" s="32">
        <v>0.75</v>
      </c>
      <c r="I27" s="38">
        <f t="shared" si="1"/>
        <v>0.75</v>
      </c>
      <c r="J27" s="32">
        <v>220</v>
      </c>
      <c r="K27" s="32">
        <v>1</v>
      </c>
      <c r="L27" s="33">
        <v>22719.943216424999</v>
      </c>
      <c r="M27" s="34">
        <f t="shared" si="0"/>
        <v>22719.943216424999</v>
      </c>
    </row>
    <row r="28" spans="1:15" x14ac:dyDescent="0.25">
      <c r="A28" s="4">
        <v>18</v>
      </c>
      <c r="B28" s="4"/>
      <c r="C28" s="32" t="s">
        <v>61</v>
      </c>
      <c r="D28" s="32" t="s">
        <v>116</v>
      </c>
      <c r="E28" s="32" t="s">
        <v>123</v>
      </c>
      <c r="F28" s="4" t="s">
        <v>118</v>
      </c>
      <c r="G28" s="8" t="s">
        <v>117</v>
      </c>
      <c r="H28" s="32">
        <v>0.01</v>
      </c>
      <c r="I28" s="38">
        <f t="shared" si="1"/>
        <v>0.01</v>
      </c>
      <c r="J28" s="32">
        <v>220</v>
      </c>
      <c r="K28" s="32">
        <v>1</v>
      </c>
      <c r="L28" s="33">
        <v>5963.5003999999999</v>
      </c>
      <c r="M28" s="34">
        <f t="shared" si="0"/>
        <v>5963.5003999999999</v>
      </c>
    </row>
    <row r="29" spans="1:15" x14ac:dyDescent="0.25">
      <c r="A29" s="4"/>
      <c r="B29" s="9">
        <v>5</v>
      </c>
      <c r="C29" s="36" t="s">
        <v>179</v>
      </c>
      <c r="D29" s="32"/>
      <c r="E29" s="32"/>
      <c r="F29" s="4"/>
      <c r="G29" s="7"/>
      <c r="H29" s="32"/>
      <c r="I29" s="38">
        <f t="shared" si="1"/>
        <v>0</v>
      </c>
      <c r="J29" s="32"/>
      <c r="K29" s="32"/>
      <c r="L29" s="10"/>
      <c r="M29" s="34"/>
    </row>
    <row r="30" spans="1:15" x14ac:dyDescent="0.25">
      <c r="A30" s="4">
        <v>15</v>
      </c>
      <c r="B30" s="4"/>
      <c r="C30" s="32" t="s">
        <v>186</v>
      </c>
      <c r="D30" s="32" t="s">
        <v>180</v>
      </c>
      <c r="E30" s="32" t="s">
        <v>60</v>
      </c>
      <c r="F30" s="4" t="s">
        <v>185</v>
      </c>
      <c r="G30" s="8" t="s">
        <v>187</v>
      </c>
      <c r="H30" s="38">
        <v>0.37</v>
      </c>
      <c r="I30" s="38">
        <f t="shared" si="1"/>
        <v>0.37</v>
      </c>
      <c r="J30" s="32">
        <v>220</v>
      </c>
      <c r="K30" s="32">
        <v>1</v>
      </c>
      <c r="L30" s="33">
        <v>54825.059081621956</v>
      </c>
      <c r="M30" s="34">
        <f t="shared" si="0"/>
        <v>54825.059081621956</v>
      </c>
    </row>
    <row r="31" spans="1:15" x14ac:dyDescent="0.25">
      <c r="A31" s="4">
        <v>49</v>
      </c>
      <c r="B31" s="4"/>
      <c r="C31" s="32" t="s">
        <v>183</v>
      </c>
      <c r="D31" s="32" t="s">
        <v>181</v>
      </c>
      <c r="E31" s="32" t="s">
        <v>60</v>
      </c>
      <c r="F31" s="4" t="s">
        <v>182</v>
      </c>
      <c r="G31" s="8" t="s">
        <v>184</v>
      </c>
      <c r="H31" s="38">
        <v>0.75</v>
      </c>
      <c r="I31" s="38">
        <f t="shared" si="1"/>
        <v>0.75</v>
      </c>
      <c r="J31" s="32">
        <v>380</v>
      </c>
      <c r="K31" s="32">
        <v>1</v>
      </c>
      <c r="L31" s="33">
        <v>44883.747457188008</v>
      </c>
      <c r="M31" s="34">
        <f t="shared" si="0"/>
        <v>44883.747457188008</v>
      </c>
      <c r="O31" s="40"/>
    </row>
    <row r="32" spans="1:15" x14ac:dyDescent="0.25">
      <c r="A32" s="4">
        <v>50</v>
      </c>
      <c r="B32" s="4"/>
      <c r="C32" s="32" t="s">
        <v>188</v>
      </c>
      <c r="D32" s="32" t="s">
        <v>197</v>
      </c>
      <c r="E32" s="32" t="s">
        <v>191</v>
      </c>
      <c r="F32" s="4" t="s">
        <v>196</v>
      </c>
      <c r="G32" s="8" t="s">
        <v>189</v>
      </c>
      <c r="H32" s="38"/>
      <c r="I32" s="38">
        <f t="shared" si="1"/>
        <v>0</v>
      </c>
      <c r="J32" s="32"/>
      <c r="K32" s="32">
        <v>1</v>
      </c>
      <c r="L32" s="33">
        <v>23963.817600000002</v>
      </c>
      <c r="M32" s="34">
        <f t="shared" si="0"/>
        <v>23963.817600000002</v>
      </c>
    </row>
    <row r="33" spans="1:13" x14ac:dyDescent="0.25">
      <c r="A33" s="4">
        <v>51</v>
      </c>
      <c r="B33" s="4"/>
      <c r="C33" s="32" t="s">
        <v>194</v>
      </c>
      <c r="D33" s="32" t="s">
        <v>195</v>
      </c>
      <c r="E33" s="32" t="s">
        <v>38</v>
      </c>
      <c r="F33" s="4" t="s">
        <v>74</v>
      </c>
      <c r="G33" s="8"/>
      <c r="H33" s="38"/>
      <c r="I33" s="38">
        <f t="shared" ref="I33" si="2">H33*K33</f>
        <v>0</v>
      </c>
      <c r="J33" s="32"/>
      <c r="K33" s="32">
        <v>1</v>
      </c>
      <c r="L33" s="33">
        <v>13072.5</v>
      </c>
      <c r="M33" s="34">
        <f t="shared" si="0"/>
        <v>13072.5</v>
      </c>
    </row>
    <row r="34" spans="1:13" x14ac:dyDescent="0.25">
      <c r="A34" s="4"/>
      <c r="B34" s="9">
        <v>6</v>
      </c>
      <c r="C34" s="36" t="s">
        <v>7</v>
      </c>
      <c r="E34" s="32"/>
      <c r="F34" s="4"/>
      <c r="G34" s="7"/>
      <c r="H34" s="32"/>
      <c r="I34" s="38">
        <f t="shared" si="1"/>
        <v>0</v>
      </c>
      <c r="J34" s="32"/>
      <c r="K34" s="32"/>
      <c r="L34" s="10"/>
      <c r="M34" s="34"/>
    </row>
    <row r="35" spans="1:13" x14ac:dyDescent="0.25">
      <c r="A35" s="4">
        <v>19</v>
      </c>
      <c r="B35" s="4"/>
      <c r="C35" s="32" t="s">
        <v>62</v>
      </c>
      <c r="D35" s="32" t="s">
        <v>135</v>
      </c>
      <c r="E35" s="32" t="s">
        <v>136</v>
      </c>
      <c r="F35" s="4" t="s">
        <v>137</v>
      </c>
      <c r="G35" s="8" t="s">
        <v>138</v>
      </c>
      <c r="H35" s="32"/>
      <c r="I35" s="38">
        <f t="shared" si="1"/>
        <v>0</v>
      </c>
      <c r="J35" s="32"/>
      <c r="K35" s="32">
        <v>6</v>
      </c>
      <c r="L35" s="11">
        <v>3310</v>
      </c>
      <c r="M35" s="34">
        <f t="shared" si="0"/>
        <v>19860</v>
      </c>
    </row>
    <row r="36" spans="1:13" x14ac:dyDescent="0.25">
      <c r="A36" s="4"/>
      <c r="B36" s="9">
        <v>12</v>
      </c>
      <c r="C36" s="36" t="s">
        <v>12</v>
      </c>
      <c r="D36" s="32"/>
      <c r="E36" s="32"/>
      <c r="F36" s="4"/>
      <c r="G36" s="7"/>
      <c r="H36" s="32"/>
      <c r="I36" s="38">
        <f t="shared" si="1"/>
        <v>0</v>
      </c>
      <c r="J36" s="32"/>
      <c r="K36" s="32"/>
      <c r="L36" s="10"/>
      <c r="M36" s="34"/>
    </row>
    <row r="37" spans="1:13" x14ac:dyDescent="0.25">
      <c r="A37" s="4">
        <v>20</v>
      </c>
      <c r="B37" s="4"/>
      <c r="C37" s="32" t="s">
        <v>63</v>
      </c>
      <c r="D37" s="14" t="s">
        <v>198</v>
      </c>
      <c r="E37" s="32" t="s">
        <v>38</v>
      </c>
      <c r="F37" s="4" t="s">
        <v>74</v>
      </c>
      <c r="G37" s="8" t="s">
        <v>66</v>
      </c>
      <c r="H37" s="38"/>
      <c r="I37" s="38">
        <f t="shared" si="1"/>
        <v>0</v>
      </c>
      <c r="J37" s="32"/>
      <c r="K37" s="32">
        <v>1</v>
      </c>
      <c r="L37" s="33">
        <v>5613</v>
      </c>
      <c r="M37" s="34">
        <f t="shared" si="0"/>
        <v>5613</v>
      </c>
    </row>
    <row r="38" spans="1:13" x14ac:dyDescent="0.25">
      <c r="A38" s="4">
        <v>23</v>
      </c>
      <c r="B38" s="4"/>
      <c r="C38" s="32" t="s">
        <v>202</v>
      </c>
      <c r="D38" s="14" t="s">
        <v>199</v>
      </c>
      <c r="E38" s="32" t="s">
        <v>38</v>
      </c>
      <c r="F38" s="4" t="s">
        <v>44</v>
      </c>
      <c r="G38" s="8" t="s">
        <v>68</v>
      </c>
      <c r="H38" s="38"/>
      <c r="I38" s="38">
        <f t="shared" si="1"/>
        <v>0</v>
      </c>
      <c r="J38" s="32"/>
      <c r="K38" s="32">
        <v>1</v>
      </c>
      <c r="L38" s="33">
        <v>18532</v>
      </c>
      <c r="M38" s="34">
        <f t="shared" si="0"/>
        <v>18532</v>
      </c>
    </row>
    <row r="39" spans="1:13" x14ac:dyDescent="0.25">
      <c r="A39" s="4">
        <v>22</v>
      </c>
      <c r="B39" s="4"/>
      <c r="C39" s="32" t="s">
        <v>64</v>
      </c>
      <c r="D39" s="41" t="s">
        <v>203</v>
      </c>
      <c r="E39" s="32" t="s">
        <v>204</v>
      </c>
      <c r="F39" s="4" t="s">
        <v>205</v>
      </c>
      <c r="G39" s="8" t="s">
        <v>206</v>
      </c>
      <c r="H39" s="38">
        <v>3.52</v>
      </c>
      <c r="I39" s="38">
        <f t="shared" si="1"/>
        <v>3.52</v>
      </c>
      <c r="J39" s="32">
        <v>220</v>
      </c>
      <c r="K39" s="32">
        <v>1</v>
      </c>
      <c r="L39" s="33">
        <v>104715</v>
      </c>
      <c r="M39" s="34">
        <f t="shared" si="0"/>
        <v>104715</v>
      </c>
    </row>
    <row r="40" spans="1:13" hidden="1" x14ac:dyDescent="0.25">
      <c r="A40" s="4"/>
      <c r="B40" s="4"/>
      <c r="C40" s="32"/>
      <c r="D40" s="32"/>
      <c r="E40" s="32"/>
      <c r="F40" s="4"/>
      <c r="G40" s="8"/>
      <c r="H40" s="38"/>
      <c r="I40" s="38"/>
      <c r="J40" s="32"/>
      <c r="K40" s="32"/>
      <c r="L40" s="33"/>
      <c r="M40" s="34">
        <f t="shared" si="0"/>
        <v>0</v>
      </c>
    </row>
    <row r="41" spans="1:13" hidden="1" x14ac:dyDescent="0.25">
      <c r="A41" s="4"/>
      <c r="B41" s="4"/>
      <c r="C41" s="32"/>
      <c r="D41" s="32"/>
      <c r="E41" s="32"/>
      <c r="F41" s="4"/>
      <c r="G41" s="8"/>
      <c r="H41" s="38"/>
      <c r="I41" s="38"/>
      <c r="J41" s="32"/>
      <c r="K41" s="32"/>
      <c r="L41" s="33"/>
      <c r="M41" s="34">
        <f t="shared" si="0"/>
        <v>0</v>
      </c>
    </row>
    <row r="42" spans="1:13" x14ac:dyDescent="0.25">
      <c r="A42" s="4">
        <v>24</v>
      </c>
      <c r="B42" s="4"/>
      <c r="C42" s="32" t="s">
        <v>65</v>
      </c>
      <c r="D42" s="14" t="s">
        <v>200</v>
      </c>
      <c r="E42" s="32" t="s">
        <v>38</v>
      </c>
      <c r="F42" s="4" t="s">
        <v>201</v>
      </c>
      <c r="G42" s="8" t="s">
        <v>37</v>
      </c>
      <c r="H42" s="38"/>
      <c r="I42" s="38">
        <f t="shared" si="1"/>
        <v>0</v>
      </c>
      <c r="J42" s="32"/>
      <c r="K42" s="32">
        <v>1</v>
      </c>
      <c r="L42" s="33">
        <v>9759</v>
      </c>
      <c r="M42" s="34">
        <f t="shared" si="0"/>
        <v>9759</v>
      </c>
    </row>
    <row r="43" spans="1:13" x14ac:dyDescent="0.25">
      <c r="A43" s="4">
        <v>25</v>
      </c>
      <c r="B43" s="4"/>
      <c r="C43" s="32" t="s">
        <v>65</v>
      </c>
      <c r="D43" s="14" t="s">
        <v>149</v>
      </c>
      <c r="E43" s="32" t="s">
        <v>38</v>
      </c>
      <c r="F43" s="4" t="s">
        <v>69</v>
      </c>
      <c r="G43" s="8" t="s">
        <v>37</v>
      </c>
      <c r="H43" s="38"/>
      <c r="I43" s="38">
        <f t="shared" si="1"/>
        <v>0</v>
      </c>
      <c r="J43" s="32"/>
      <c r="K43" s="32">
        <v>2</v>
      </c>
      <c r="L43" s="33">
        <v>6286.14</v>
      </c>
      <c r="M43" s="34">
        <f t="shared" si="0"/>
        <v>12572.28</v>
      </c>
    </row>
    <row r="44" spans="1:13" x14ac:dyDescent="0.25">
      <c r="A44" s="4">
        <v>26</v>
      </c>
      <c r="B44" s="4"/>
      <c r="C44" s="32" t="s">
        <v>70</v>
      </c>
      <c r="D44" s="32" t="s">
        <v>132</v>
      </c>
      <c r="E44" s="32" t="s">
        <v>133</v>
      </c>
      <c r="F44" s="4"/>
      <c r="G44" s="8" t="s">
        <v>131</v>
      </c>
      <c r="H44" s="32"/>
      <c r="I44" s="38">
        <f t="shared" si="1"/>
        <v>0</v>
      </c>
      <c r="J44" s="32"/>
      <c r="K44" s="32">
        <v>1</v>
      </c>
      <c r="L44" s="33">
        <v>9610.5</v>
      </c>
      <c r="M44" s="34">
        <f t="shared" si="0"/>
        <v>9610.5</v>
      </c>
    </row>
    <row r="45" spans="1:13" x14ac:dyDescent="0.25">
      <c r="A45" s="4"/>
      <c r="B45" s="9">
        <v>13</v>
      </c>
      <c r="C45" s="36" t="s">
        <v>13</v>
      </c>
      <c r="D45" s="32"/>
      <c r="E45" s="32"/>
      <c r="F45" s="4"/>
      <c r="G45" s="7"/>
      <c r="H45" s="32"/>
      <c r="I45" s="38">
        <f t="shared" si="1"/>
        <v>0</v>
      </c>
      <c r="J45" s="32"/>
      <c r="K45" s="32"/>
      <c r="L45" s="10"/>
      <c r="M45" s="34"/>
    </row>
    <row r="46" spans="1:13" x14ac:dyDescent="0.25">
      <c r="A46" s="4"/>
      <c r="B46" s="9">
        <v>14</v>
      </c>
      <c r="C46" s="36" t="s">
        <v>14</v>
      </c>
      <c r="D46" s="32"/>
      <c r="E46" s="32"/>
      <c r="F46" s="4"/>
      <c r="G46" s="7"/>
      <c r="H46" s="32"/>
      <c r="I46" s="38">
        <f t="shared" si="1"/>
        <v>0</v>
      </c>
      <c r="J46" s="32"/>
      <c r="K46" s="32"/>
      <c r="L46" s="10"/>
      <c r="M46" s="34"/>
    </row>
    <row r="47" spans="1:13" x14ac:dyDescent="0.25">
      <c r="A47" s="4"/>
      <c r="B47" s="9">
        <v>15</v>
      </c>
      <c r="C47" s="36" t="s">
        <v>15</v>
      </c>
      <c r="D47" s="32"/>
      <c r="E47" s="32"/>
      <c r="F47" s="4"/>
      <c r="G47" s="7"/>
      <c r="H47" s="32"/>
      <c r="I47" s="38">
        <f t="shared" si="1"/>
        <v>0</v>
      </c>
      <c r="J47" s="32"/>
      <c r="K47" s="32"/>
      <c r="L47" s="10"/>
      <c r="M47" s="34"/>
    </row>
    <row r="48" spans="1:13" x14ac:dyDescent="0.25">
      <c r="A48" s="4">
        <v>27</v>
      </c>
      <c r="B48" s="4"/>
      <c r="C48" s="32" t="s">
        <v>217</v>
      </c>
      <c r="D48" s="41" t="s">
        <v>170</v>
      </c>
      <c r="E48" s="32" t="s">
        <v>71</v>
      </c>
      <c r="F48" s="4" t="s">
        <v>172</v>
      </c>
      <c r="G48" s="8" t="s">
        <v>171</v>
      </c>
      <c r="H48" s="42">
        <v>16.8</v>
      </c>
      <c r="I48" s="38"/>
      <c r="J48" s="32"/>
      <c r="K48" s="32">
        <v>1</v>
      </c>
      <c r="L48" s="33">
        <v>187044.71135999996</v>
      </c>
      <c r="M48" s="34">
        <f t="shared" si="0"/>
        <v>187044.71135999996</v>
      </c>
    </row>
    <row r="49" spans="1:13" x14ac:dyDescent="0.25">
      <c r="A49" s="4" t="s">
        <v>72</v>
      </c>
      <c r="B49" s="4"/>
      <c r="C49" s="43" t="s">
        <v>169</v>
      </c>
      <c r="D49" s="41" t="s">
        <v>174</v>
      </c>
      <c r="E49" s="32" t="s">
        <v>71</v>
      </c>
      <c r="F49" s="4" t="s">
        <v>173</v>
      </c>
      <c r="G49" s="8" t="s">
        <v>171</v>
      </c>
      <c r="H49" s="32">
        <v>3.2</v>
      </c>
      <c r="I49" s="38">
        <f t="shared" si="1"/>
        <v>3.2</v>
      </c>
      <c r="J49" s="32"/>
      <c r="K49" s="32">
        <v>1</v>
      </c>
      <c r="L49" s="33">
        <v>75485.904779999997</v>
      </c>
      <c r="M49" s="34">
        <f t="shared" si="0"/>
        <v>75485.904779999997</v>
      </c>
    </row>
    <row r="50" spans="1:13" x14ac:dyDescent="0.25">
      <c r="A50" s="4">
        <v>28</v>
      </c>
      <c r="B50" s="4"/>
      <c r="C50" s="32" t="s">
        <v>178</v>
      </c>
      <c r="D50" s="41" t="s">
        <v>175</v>
      </c>
      <c r="E50" s="32" t="s">
        <v>161</v>
      </c>
      <c r="F50" s="4" t="s">
        <v>162</v>
      </c>
      <c r="G50" s="8" t="s">
        <v>163</v>
      </c>
      <c r="H50" s="42">
        <v>19.5</v>
      </c>
      <c r="I50" s="38"/>
      <c r="J50" s="32"/>
      <c r="K50" s="32">
        <v>1</v>
      </c>
      <c r="L50" s="33">
        <v>67755.929279999997</v>
      </c>
      <c r="M50" s="34">
        <f t="shared" si="0"/>
        <v>67755.929279999997</v>
      </c>
    </row>
    <row r="51" spans="1:13" x14ac:dyDescent="0.25">
      <c r="A51" s="4">
        <v>29</v>
      </c>
      <c r="B51" s="4"/>
      <c r="C51" s="32" t="s">
        <v>177</v>
      </c>
      <c r="D51" s="41" t="s">
        <v>176</v>
      </c>
      <c r="E51" s="32" t="s">
        <v>161</v>
      </c>
      <c r="F51" s="4" t="s">
        <v>162</v>
      </c>
      <c r="G51" s="8" t="s">
        <v>164</v>
      </c>
      <c r="H51" s="42">
        <v>10.5</v>
      </c>
      <c r="I51" s="38"/>
      <c r="J51" s="32"/>
      <c r="K51" s="32">
        <v>1</v>
      </c>
      <c r="L51" s="33">
        <v>66455.868960000007</v>
      </c>
      <c r="M51" s="34">
        <f t="shared" si="0"/>
        <v>66455.868960000007</v>
      </c>
    </row>
    <row r="52" spans="1:13" x14ac:dyDescent="0.25">
      <c r="A52" s="4">
        <v>30</v>
      </c>
      <c r="B52" s="4"/>
      <c r="C52" s="32" t="s">
        <v>73</v>
      </c>
      <c r="D52" s="41" t="s">
        <v>168</v>
      </c>
      <c r="E52" s="32" t="s">
        <v>165</v>
      </c>
      <c r="F52" s="4" t="s">
        <v>156</v>
      </c>
      <c r="G52" s="8" t="s">
        <v>55</v>
      </c>
      <c r="H52" s="38"/>
      <c r="I52" s="38">
        <f t="shared" si="1"/>
        <v>0</v>
      </c>
      <c r="J52" s="32"/>
      <c r="K52" s="32">
        <v>1</v>
      </c>
      <c r="L52" s="33">
        <v>5208</v>
      </c>
      <c r="M52" s="34">
        <f t="shared" si="0"/>
        <v>5208</v>
      </c>
    </row>
    <row r="53" spans="1:13" x14ac:dyDescent="0.25">
      <c r="A53" s="4">
        <v>31</v>
      </c>
      <c r="B53" s="4"/>
      <c r="C53" s="32"/>
      <c r="D53" s="41"/>
      <c r="E53" s="32"/>
      <c r="F53" s="4"/>
      <c r="G53" s="8"/>
      <c r="H53" s="38"/>
      <c r="I53" s="38"/>
      <c r="J53" s="32"/>
      <c r="K53" s="32"/>
      <c r="L53" s="33"/>
      <c r="M53" s="34"/>
    </row>
    <row r="54" spans="1:13" x14ac:dyDescent="0.25">
      <c r="A54" s="4">
        <v>32</v>
      </c>
      <c r="B54" s="4"/>
      <c r="C54" s="32" t="s">
        <v>73</v>
      </c>
      <c r="D54" s="41" t="s">
        <v>167</v>
      </c>
      <c r="E54" s="32" t="s">
        <v>165</v>
      </c>
      <c r="F54" s="4" t="s">
        <v>67</v>
      </c>
      <c r="G54" s="8" t="s">
        <v>55</v>
      </c>
      <c r="H54" s="38"/>
      <c r="I54" s="38">
        <f t="shared" si="1"/>
        <v>0</v>
      </c>
      <c r="J54" s="32"/>
      <c r="K54" s="32">
        <v>3</v>
      </c>
      <c r="L54" s="33">
        <v>5702</v>
      </c>
      <c r="M54" s="34">
        <f t="shared" si="0"/>
        <v>17106</v>
      </c>
    </row>
    <row r="55" spans="1:13" x14ac:dyDescent="0.25">
      <c r="A55" s="4">
        <v>33</v>
      </c>
      <c r="B55" s="4"/>
      <c r="C55" s="32" t="s">
        <v>73</v>
      </c>
      <c r="D55" s="32" t="s">
        <v>166</v>
      </c>
      <c r="E55" s="32" t="s">
        <v>165</v>
      </c>
      <c r="F55" s="4" t="s">
        <v>74</v>
      </c>
      <c r="G55" s="8" t="s">
        <v>55</v>
      </c>
      <c r="H55" s="38"/>
      <c r="I55" s="38">
        <f t="shared" si="1"/>
        <v>0</v>
      </c>
      <c r="J55" s="32"/>
      <c r="K55" s="32">
        <v>1</v>
      </c>
      <c r="L55" s="33">
        <v>6405</v>
      </c>
      <c r="M55" s="34">
        <f t="shared" si="0"/>
        <v>6405</v>
      </c>
    </row>
    <row r="56" spans="1:13" x14ac:dyDescent="0.25">
      <c r="A56" s="4">
        <v>25</v>
      </c>
      <c r="B56" s="4"/>
      <c r="C56" s="32" t="s">
        <v>65</v>
      </c>
      <c r="D56" s="32" t="s">
        <v>149</v>
      </c>
      <c r="E56" s="32" t="s">
        <v>38</v>
      </c>
      <c r="F56" s="4" t="s">
        <v>69</v>
      </c>
      <c r="G56" s="8" t="s">
        <v>37</v>
      </c>
      <c r="H56" s="38"/>
      <c r="I56" s="38">
        <f t="shared" si="1"/>
        <v>0</v>
      </c>
      <c r="J56" s="32"/>
      <c r="K56" s="32">
        <v>2</v>
      </c>
      <c r="L56" s="33">
        <v>6286.14</v>
      </c>
      <c r="M56" s="34">
        <f t="shared" si="0"/>
        <v>12572.28</v>
      </c>
    </row>
    <row r="57" spans="1:13" x14ac:dyDescent="0.25">
      <c r="A57" s="4">
        <v>21</v>
      </c>
      <c r="B57" s="4"/>
      <c r="C57" s="32" t="s">
        <v>50</v>
      </c>
      <c r="D57" s="32" t="s">
        <v>148</v>
      </c>
      <c r="E57" s="32" t="s">
        <v>38</v>
      </c>
      <c r="F57" s="4" t="s">
        <v>67</v>
      </c>
      <c r="G57" s="8" t="s">
        <v>68</v>
      </c>
      <c r="H57" s="38"/>
      <c r="I57" s="38">
        <f t="shared" si="1"/>
        <v>0</v>
      </c>
      <c r="J57" s="32"/>
      <c r="K57" s="32">
        <v>1</v>
      </c>
      <c r="L57" s="33">
        <v>15323.7</v>
      </c>
      <c r="M57" s="34">
        <f t="shared" si="0"/>
        <v>15323.7</v>
      </c>
    </row>
    <row r="58" spans="1:13" x14ac:dyDescent="0.25">
      <c r="A58" s="4">
        <v>34</v>
      </c>
      <c r="B58" s="4"/>
      <c r="C58" s="32" t="s">
        <v>77</v>
      </c>
      <c r="D58" s="32" t="s">
        <v>150</v>
      </c>
      <c r="E58" s="32" t="s">
        <v>38</v>
      </c>
      <c r="F58" s="4" t="s">
        <v>75</v>
      </c>
      <c r="G58" s="8" t="s">
        <v>68</v>
      </c>
      <c r="H58" s="38"/>
      <c r="I58" s="38">
        <f t="shared" si="1"/>
        <v>0</v>
      </c>
      <c r="J58" s="32"/>
      <c r="K58" s="32">
        <v>2</v>
      </c>
      <c r="L58" s="33">
        <v>8202.0750000000007</v>
      </c>
      <c r="M58" s="34">
        <f t="shared" si="0"/>
        <v>16404.150000000001</v>
      </c>
    </row>
    <row r="59" spans="1:13" x14ac:dyDescent="0.25">
      <c r="A59" s="4">
        <v>35</v>
      </c>
      <c r="B59" s="4"/>
      <c r="C59" s="32" t="s">
        <v>47</v>
      </c>
      <c r="D59" s="32" t="s">
        <v>157</v>
      </c>
      <c r="E59" s="32" t="s">
        <v>38</v>
      </c>
      <c r="F59" s="4" t="s">
        <v>159</v>
      </c>
      <c r="G59" s="8"/>
      <c r="H59" s="38"/>
      <c r="I59" s="38">
        <f t="shared" si="1"/>
        <v>0</v>
      </c>
      <c r="J59" s="32"/>
      <c r="K59" s="32">
        <v>1</v>
      </c>
      <c r="L59" s="33">
        <v>1573.1100000000001</v>
      </c>
      <c r="M59" s="34">
        <f t="shared" si="0"/>
        <v>1573.1100000000001</v>
      </c>
    </row>
    <row r="60" spans="1:13" x14ac:dyDescent="0.25">
      <c r="A60" s="4">
        <v>36</v>
      </c>
      <c r="B60" s="4"/>
      <c r="C60" s="32" t="s">
        <v>47</v>
      </c>
      <c r="D60" s="32" t="s">
        <v>158</v>
      </c>
      <c r="E60" s="32" t="s">
        <v>38</v>
      </c>
      <c r="F60" s="4" t="s">
        <v>160</v>
      </c>
      <c r="G60" s="8"/>
      <c r="H60" s="38"/>
      <c r="I60" s="38">
        <f t="shared" si="1"/>
        <v>0</v>
      </c>
      <c r="J60" s="32"/>
      <c r="K60" s="32">
        <v>1</v>
      </c>
      <c r="L60" s="33">
        <v>1716.33</v>
      </c>
      <c r="M60" s="34">
        <f t="shared" si="0"/>
        <v>1716.33</v>
      </c>
    </row>
    <row r="61" spans="1:13" x14ac:dyDescent="0.25">
      <c r="A61" s="4">
        <v>10</v>
      </c>
      <c r="B61" s="4"/>
      <c r="C61" s="32" t="s">
        <v>47</v>
      </c>
      <c r="D61" s="32" t="s">
        <v>151</v>
      </c>
      <c r="E61" s="32" t="s">
        <v>38</v>
      </c>
      <c r="F61" s="4" t="s">
        <v>152</v>
      </c>
      <c r="G61" s="8"/>
      <c r="H61" s="38"/>
      <c r="I61" s="38">
        <f t="shared" si="1"/>
        <v>0</v>
      </c>
      <c r="J61" s="32"/>
      <c r="K61" s="32">
        <v>1</v>
      </c>
      <c r="L61" s="33">
        <v>1933.4700000000003</v>
      </c>
      <c r="M61" s="34">
        <f t="shared" si="0"/>
        <v>1933.4700000000003</v>
      </c>
    </row>
    <row r="62" spans="1:13" x14ac:dyDescent="0.25">
      <c r="A62" s="4">
        <v>13</v>
      </c>
      <c r="B62" s="4"/>
      <c r="C62" s="32" t="s">
        <v>49</v>
      </c>
      <c r="D62" s="32" t="s">
        <v>52</v>
      </c>
      <c r="E62" s="32" t="s">
        <v>30</v>
      </c>
      <c r="F62" s="4" t="s">
        <v>53</v>
      </c>
      <c r="G62" s="8" t="s">
        <v>54</v>
      </c>
      <c r="H62" s="32">
        <v>0.35</v>
      </c>
      <c r="I62" s="38">
        <f t="shared" si="1"/>
        <v>0.7</v>
      </c>
      <c r="J62" s="32">
        <v>220</v>
      </c>
      <c r="K62" s="32">
        <v>2</v>
      </c>
      <c r="L62" s="33">
        <v>37700</v>
      </c>
      <c r="M62" s="34">
        <f t="shared" si="0"/>
        <v>75400</v>
      </c>
    </row>
    <row r="63" spans="1:13" x14ac:dyDescent="0.25">
      <c r="A63" s="4">
        <v>37</v>
      </c>
      <c r="B63" s="4"/>
      <c r="C63" s="32" t="s">
        <v>80</v>
      </c>
      <c r="D63" s="32" t="s">
        <v>82</v>
      </c>
      <c r="E63" s="32" t="s">
        <v>38</v>
      </c>
      <c r="F63" s="4" t="s">
        <v>81</v>
      </c>
      <c r="G63" s="8"/>
      <c r="H63" s="32"/>
      <c r="I63" s="38">
        <f t="shared" si="1"/>
        <v>0</v>
      </c>
      <c r="J63" s="32"/>
      <c r="K63" s="32">
        <v>1</v>
      </c>
      <c r="L63" s="33">
        <v>12121.2</v>
      </c>
      <c r="M63" s="34">
        <f t="shared" si="0"/>
        <v>12121.2</v>
      </c>
    </row>
    <row r="64" spans="1:13" x14ac:dyDescent="0.25">
      <c r="A64" s="4">
        <v>38</v>
      </c>
      <c r="B64" s="4"/>
      <c r="C64" s="32" t="s">
        <v>80</v>
      </c>
      <c r="D64" s="32" t="s">
        <v>84</v>
      </c>
      <c r="E64" s="32" t="s">
        <v>38</v>
      </c>
      <c r="F64" s="4" t="s">
        <v>83</v>
      </c>
      <c r="G64" s="8"/>
      <c r="H64" s="32"/>
      <c r="I64" s="38">
        <f t="shared" si="1"/>
        <v>0</v>
      </c>
      <c r="J64" s="32"/>
      <c r="K64" s="32">
        <v>1</v>
      </c>
      <c r="L64" s="33">
        <v>21251.579999999998</v>
      </c>
      <c r="M64" s="34">
        <f t="shared" si="0"/>
        <v>21251.579999999998</v>
      </c>
    </row>
    <row r="65" spans="1:13" x14ac:dyDescent="0.25">
      <c r="A65" s="4">
        <v>18</v>
      </c>
      <c r="B65" s="4"/>
      <c r="C65" s="32" t="s">
        <v>61</v>
      </c>
      <c r="D65" s="32" t="s">
        <v>122</v>
      </c>
      <c r="E65" s="32" t="s">
        <v>123</v>
      </c>
      <c r="F65" s="4" t="s">
        <v>118</v>
      </c>
      <c r="G65" s="8" t="s">
        <v>124</v>
      </c>
      <c r="H65" s="32">
        <v>0.01</v>
      </c>
      <c r="I65" s="38">
        <f t="shared" si="1"/>
        <v>0.02</v>
      </c>
      <c r="J65" s="32">
        <v>220</v>
      </c>
      <c r="K65" s="32">
        <v>2</v>
      </c>
      <c r="L65" s="33">
        <v>5963.5003999999999</v>
      </c>
      <c r="M65" s="34">
        <f t="shared" si="0"/>
        <v>11927.0008</v>
      </c>
    </row>
    <row r="66" spans="1:13" x14ac:dyDescent="0.25">
      <c r="A66" s="4">
        <v>39</v>
      </c>
      <c r="B66" s="4"/>
      <c r="C66" s="32" t="s">
        <v>59</v>
      </c>
      <c r="D66" s="32" t="s">
        <v>87</v>
      </c>
      <c r="E66" s="32" t="s">
        <v>38</v>
      </c>
      <c r="F66" s="4" t="s">
        <v>86</v>
      </c>
      <c r="G66" s="8" t="s">
        <v>85</v>
      </c>
      <c r="H66" s="32"/>
      <c r="I66" s="38">
        <f t="shared" si="1"/>
        <v>0</v>
      </c>
      <c r="J66" s="32"/>
      <c r="K66" s="32">
        <v>1</v>
      </c>
      <c r="L66" s="33">
        <v>3795.75</v>
      </c>
      <c r="M66" s="34">
        <f t="shared" si="0"/>
        <v>3795.75</v>
      </c>
    </row>
    <row r="67" spans="1:13" x14ac:dyDescent="0.25">
      <c r="A67" s="4"/>
      <c r="B67" s="9">
        <v>16</v>
      </c>
      <c r="C67" s="36" t="s">
        <v>16</v>
      </c>
      <c r="D67" s="32"/>
      <c r="E67" s="32"/>
      <c r="F67" s="4"/>
      <c r="G67" s="7"/>
      <c r="H67" s="32"/>
      <c r="I67" s="38">
        <f t="shared" si="1"/>
        <v>0</v>
      </c>
      <c r="J67" s="32"/>
      <c r="K67" s="32"/>
      <c r="L67" s="10"/>
      <c r="M67" s="34"/>
    </row>
    <row r="68" spans="1:13" x14ac:dyDescent="0.25">
      <c r="A68" s="4">
        <v>40</v>
      </c>
      <c r="B68" s="4"/>
      <c r="C68" s="32" t="s">
        <v>90</v>
      </c>
      <c r="D68" s="32" t="s">
        <v>88</v>
      </c>
      <c r="E68" s="32" t="s">
        <v>38</v>
      </c>
      <c r="F68" s="4" t="s">
        <v>89</v>
      </c>
      <c r="G68" s="8"/>
      <c r="H68" s="32"/>
      <c r="I68" s="38">
        <f t="shared" si="1"/>
        <v>0</v>
      </c>
      <c r="J68" s="32"/>
      <c r="K68" s="32">
        <v>1</v>
      </c>
      <c r="L68" s="33">
        <v>19900</v>
      </c>
      <c r="M68" s="34">
        <f t="shared" si="0"/>
        <v>19900</v>
      </c>
    </row>
    <row r="69" spans="1:13" x14ac:dyDescent="0.25">
      <c r="A69" s="4">
        <v>41</v>
      </c>
      <c r="B69" s="4"/>
      <c r="C69" s="32" t="s">
        <v>98</v>
      </c>
      <c r="D69" s="32" t="s">
        <v>97</v>
      </c>
      <c r="E69" s="32" t="s">
        <v>38</v>
      </c>
      <c r="F69" s="4" t="s">
        <v>89</v>
      </c>
      <c r="G69" s="8"/>
      <c r="H69" s="32"/>
      <c r="I69" s="38">
        <f t="shared" si="1"/>
        <v>0</v>
      </c>
      <c r="J69" s="32"/>
      <c r="K69" s="32">
        <v>1</v>
      </c>
      <c r="L69" s="33">
        <v>19850</v>
      </c>
      <c r="M69" s="34">
        <f t="shared" si="0"/>
        <v>19850</v>
      </c>
    </row>
    <row r="70" spans="1:13" x14ac:dyDescent="0.25">
      <c r="A70" s="4">
        <v>42</v>
      </c>
      <c r="B70" s="4"/>
      <c r="C70" s="32" t="s">
        <v>95</v>
      </c>
      <c r="D70" s="32" t="s">
        <v>96</v>
      </c>
      <c r="E70" s="32" t="s">
        <v>38</v>
      </c>
      <c r="F70" s="4" t="s">
        <v>94</v>
      </c>
      <c r="G70" s="8"/>
      <c r="H70" s="32">
        <v>0.66</v>
      </c>
      <c r="I70" s="38">
        <f t="shared" si="1"/>
        <v>0.66</v>
      </c>
      <c r="J70" s="32">
        <v>220</v>
      </c>
      <c r="K70" s="32">
        <v>1</v>
      </c>
      <c r="L70" s="33">
        <v>82000</v>
      </c>
      <c r="M70" s="34">
        <f t="shared" si="0"/>
        <v>82000</v>
      </c>
    </row>
    <row r="71" spans="1:13" x14ac:dyDescent="0.25">
      <c r="A71" s="4">
        <v>43</v>
      </c>
      <c r="B71" s="4"/>
      <c r="C71" s="32" t="s">
        <v>101</v>
      </c>
      <c r="D71" s="32" t="s">
        <v>99</v>
      </c>
      <c r="E71" s="32" t="s">
        <v>38</v>
      </c>
      <c r="F71" s="4" t="s">
        <v>100</v>
      </c>
      <c r="G71" s="8"/>
      <c r="H71" s="32">
        <v>1.56</v>
      </c>
      <c r="I71" s="38">
        <f t="shared" si="1"/>
        <v>1.56</v>
      </c>
      <c r="J71" s="32">
        <v>220</v>
      </c>
      <c r="K71" s="32">
        <v>1</v>
      </c>
      <c r="L71" s="33">
        <v>50300</v>
      </c>
      <c r="M71" s="34">
        <f t="shared" si="0"/>
        <v>50300</v>
      </c>
    </row>
    <row r="72" spans="1:13" x14ac:dyDescent="0.25">
      <c r="A72" s="4">
        <v>44</v>
      </c>
      <c r="B72" s="4"/>
      <c r="C72" s="32" t="s">
        <v>93</v>
      </c>
      <c r="D72" s="32" t="s">
        <v>91</v>
      </c>
      <c r="E72" s="32" t="s">
        <v>38</v>
      </c>
      <c r="F72" s="4" t="s">
        <v>92</v>
      </c>
      <c r="G72" s="8"/>
      <c r="H72" s="32"/>
      <c r="I72" s="38">
        <f t="shared" ref="I72:I80" si="3">H72*K72</f>
        <v>0</v>
      </c>
      <c r="J72" s="32"/>
      <c r="K72" s="32">
        <v>1</v>
      </c>
      <c r="L72" s="33">
        <v>16050</v>
      </c>
      <c r="M72" s="34">
        <f t="shared" ref="M72:M80" si="4">K72*L72</f>
        <v>16050</v>
      </c>
    </row>
    <row r="73" spans="1:13" x14ac:dyDescent="0.25">
      <c r="A73" s="4">
        <v>45</v>
      </c>
      <c r="B73" s="4"/>
      <c r="C73" s="32" t="s">
        <v>104</v>
      </c>
      <c r="D73" s="32" t="s">
        <v>106</v>
      </c>
      <c r="E73" s="32" t="s">
        <v>105</v>
      </c>
      <c r="F73" s="4" t="s">
        <v>102</v>
      </c>
      <c r="G73" s="8" t="s">
        <v>103</v>
      </c>
      <c r="H73" s="32">
        <v>1.5</v>
      </c>
      <c r="I73" s="38">
        <f t="shared" si="3"/>
        <v>1.5</v>
      </c>
      <c r="J73" s="32">
        <v>220</v>
      </c>
      <c r="K73" s="32">
        <v>1</v>
      </c>
      <c r="L73" s="33">
        <v>5590</v>
      </c>
      <c r="M73" s="34">
        <f t="shared" si="4"/>
        <v>5590</v>
      </c>
    </row>
    <row r="74" spans="1:13" x14ac:dyDescent="0.25">
      <c r="A74" s="4">
        <v>46</v>
      </c>
      <c r="B74" s="4"/>
      <c r="C74" s="32" t="s">
        <v>108</v>
      </c>
      <c r="D74" s="32" t="s">
        <v>109</v>
      </c>
      <c r="E74" s="32" t="s">
        <v>130</v>
      </c>
      <c r="F74" s="4" t="s">
        <v>107</v>
      </c>
      <c r="G74" s="8"/>
      <c r="H74" s="32">
        <v>2.2999999999999998</v>
      </c>
      <c r="I74" s="38">
        <f t="shared" si="3"/>
        <v>2.2999999999999998</v>
      </c>
      <c r="J74" s="32">
        <v>220</v>
      </c>
      <c r="K74" s="32">
        <v>1</v>
      </c>
      <c r="L74" s="33">
        <v>58720.480000000003</v>
      </c>
      <c r="M74" s="34">
        <f t="shared" si="4"/>
        <v>58720.480000000003</v>
      </c>
    </row>
    <row r="75" spans="1:13" x14ac:dyDescent="0.25">
      <c r="A75" s="4">
        <v>47</v>
      </c>
      <c r="B75" s="4"/>
      <c r="C75" s="32" t="s">
        <v>134</v>
      </c>
      <c r="D75" s="32" t="s">
        <v>110</v>
      </c>
      <c r="E75" s="32" t="s">
        <v>111</v>
      </c>
      <c r="F75" s="4" t="s">
        <v>112</v>
      </c>
      <c r="G75" s="8"/>
      <c r="H75" s="32"/>
      <c r="I75" s="38">
        <f t="shared" si="3"/>
        <v>0</v>
      </c>
      <c r="J75" s="32"/>
      <c r="K75" s="32">
        <v>1</v>
      </c>
      <c r="L75" s="33">
        <v>3988</v>
      </c>
      <c r="M75" s="34">
        <f t="shared" si="4"/>
        <v>3988</v>
      </c>
    </row>
    <row r="76" spans="1:13" x14ac:dyDescent="0.25">
      <c r="A76" s="4">
        <v>52</v>
      </c>
      <c r="B76" s="4"/>
      <c r="C76" s="44" t="s">
        <v>208</v>
      </c>
      <c r="D76" s="44" t="s">
        <v>207</v>
      </c>
      <c r="E76" s="32" t="s">
        <v>105</v>
      </c>
      <c r="F76" s="45" t="s">
        <v>210</v>
      </c>
      <c r="G76" s="8" t="s">
        <v>209</v>
      </c>
      <c r="H76" s="32">
        <v>0.8</v>
      </c>
      <c r="I76" s="38">
        <f t="shared" si="3"/>
        <v>0.8</v>
      </c>
      <c r="J76" s="32">
        <v>220</v>
      </c>
      <c r="K76" s="32">
        <v>1</v>
      </c>
      <c r="L76" s="33">
        <v>7009</v>
      </c>
      <c r="M76" s="34">
        <f t="shared" si="4"/>
        <v>7009</v>
      </c>
    </row>
    <row r="77" spans="1:13" x14ac:dyDescent="0.25">
      <c r="A77" s="4">
        <v>53</v>
      </c>
      <c r="B77" s="4"/>
      <c r="C77" s="44" t="s">
        <v>212</v>
      </c>
      <c r="D77" s="44" t="s">
        <v>211</v>
      </c>
      <c r="E77" s="32" t="s">
        <v>105</v>
      </c>
      <c r="F77" s="45" t="s">
        <v>214</v>
      </c>
      <c r="G77" s="8" t="s">
        <v>213</v>
      </c>
      <c r="H77" s="32">
        <v>0.5</v>
      </c>
      <c r="I77" s="38">
        <f t="shared" si="3"/>
        <v>0.5</v>
      </c>
      <c r="J77" s="32">
        <v>220</v>
      </c>
      <c r="K77" s="32">
        <v>1</v>
      </c>
      <c r="L77" s="33">
        <v>34529</v>
      </c>
      <c r="M77" s="34">
        <f t="shared" si="4"/>
        <v>34529</v>
      </c>
    </row>
    <row r="78" spans="1:13" x14ac:dyDescent="0.25">
      <c r="A78" s="4"/>
      <c r="B78" s="9">
        <v>17</v>
      </c>
      <c r="C78" s="36" t="s">
        <v>18</v>
      </c>
      <c r="D78" s="32"/>
      <c r="E78" s="32"/>
      <c r="F78" s="4"/>
      <c r="G78" s="7"/>
      <c r="H78" s="32"/>
      <c r="I78" s="38">
        <f t="shared" si="3"/>
        <v>0</v>
      </c>
      <c r="J78" s="32"/>
      <c r="K78" s="32"/>
      <c r="L78" s="10"/>
      <c r="M78" s="34"/>
    </row>
    <row r="79" spans="1:13" x14ac:dyDescent="0.25">
      <c r="A79" s="4"/>
      <c r="B79" s="9">
        <v>18</v>
      </c>
      <c r="C79" s="36" t="s">
        <v>19</v>
      </c>
      <c r="D79" s="32"/>
      <c r="E79" s="32"/>
      <c r="F79" s="4"/>
      <c r="G79" s="7"/>
      <c r="H79" s="32"/>
      <c r="I79" s="38">
        <f t="shared" si="3"/>
        <v>0</v>
      </c>
      <c r="J79" s="32"/>
      <c r="K79" s="32"/>
      <c r="L79" s="10"/>
      <c r="M79" s="34"/>
    </row>
    <row r="80" spans="1:13" x14ac:dyDescent="0.25">
      <c r="A80" s="4"/>
      <c r="B80" s="9">
        <v>19</v>
      </c>
      <c r="C80" s="36" t="s">
        <v>17</v>
      </c>
      <c r="D80" s="32"/>
      <c r="E80" s="32"/>
      <c r="F80" s="4"/>
      <c r="G80" s="7"/>
      <c r="H80" s="32"/>
      <c r="I80" s="38">
        <f t="shared" si="3"/>
        <v>0</v>
      </c>
      <c r="J80" s="32"/>
      <c r="K80" s="32"/>
      <c r="L80" s="10"/>
      <c r="M80" s="34"/>
    </row>
    <row r="81" spans="1:13" x14ac:dyDescent="0.25">
      <c r="A81" s="32"/>
      <c r="B81" s="32"/>
      <c r="C81" s="30" t="s">
        <v>225</v>
      </c>
      <c r="D81" s="32"/>
      <c r="E81" s="32"/>
      <c r="F81" s="32"/>
      <c r="G81" s="32"/>
      <c r="H81" s="38">
        <f>SUM(I4:I80)</f>
        <v>19.828333333333333</v>
      </c>
      <c r="I81" s="32"/>
      <c r="J81" s="32"/>
      <c r="K81" s="32"/>
      <c r="L81" s="4"/>
      <c r="M81" s="34">
        <f>SUM(M3:M80)</f>
        <v>1708534.5554481726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workbookViewId="0">
      <selection activeCell="G2" sqref="G2"/>
    </sheetView>
  </sheetViews>
  <sheetFormatPr defaultRowHeight="15" x14ac:dyDescent="0.25"/>
  <cols>
    <col min="1" max="1" width="6.140625" style="1" customWidth="1"/>
    <col min="2" max="2" width="34.85546875" style="13" customWidth="1"/>
    <col min="3" max="3" width="21" style="13" customWidth="1"/>
    <col min="4" max="4" width="23.28515625" style="13" hidden="1" customWidth="1"/>
    <col min="5" max="5" width="7.85546875" style="13" customWidth="1"/>
    <col min="6" max="6" width="10.5703125" style="13" customWidth="1"/>
    <col min="7" max="7" width="6.140625" style="13" customWidth="1"/>
    <col min="8" max="8" width="7.140625" style="13" customWidth="1"/>
    <col min="9" max="9" width="17.140625" style="3" customWidth="1"/>
    <col min="10" max="10" width="7.5703125" style="13" customWidth="1"/>
    <col min="11" max="16384" width="9.140625" style="13"/>
  </cols>
  <sheetData>
    <row r="1" spans="1:10" s="1" customFormat="1" ht="32.25" customHeight="1" x14ac:dyDescent="0.25">
      <c r="A1" s="4" t="s">
        <v>0</v>
      </c>
      <c r="B1" s="4" t="s">
        <v>1</v>
      </c>
      <c r="C1" s="4" t="s">
        <v>21</v>
      </c>
      <c r="D1" s="4" t="s">
        <v>22</v>
      </c>
      <c r="E1" s="28" t="s">
        <v>221</v>
      </c>
      <c r="F1" s="4" t="s">
        <v>219</v>
      </c>
      <c r="G1" s="4" t="s">
        <v>222</v>
      </c>
      <c r="H1" s="4" t="s">
        <v>219</v>
      </c>
      <c r="I1" s="4" t="s">
        <v>23</v>
      </c>
      <c r="J1" s="4" t="s">
        <v>27</v>
      </c>
    </row>
    <row r="2" spans="1:10" x14ac:dyDescent="0.25">
      <c r="A2" s="4">
        <v>1</v>
      </c>
      <c r="B2" s="5" t="s">
        <v>20</v>
      </c>
      <c r="C2" s="5" t="s">
        <v>139</v>
      </c>
      <c r="D2" s="5" t="s">
        <v>30</v>
      </c>
      <c r="E2" s="23">
        <f>2.2*1.96*0.36</f>
        <v>1.5523200000000001</v>
      </c>
      <c r="F2" s="23">
        <f t="shared" ref="F2:F33" si="0">E2*J2</f>
        <v>3.1046400000000003</v>
      </c>
      <c r="G2" s="5">
        <v>320</v>
      </c>
      <c r="H2" s="5">
        <f t="shared" ref="H2:H33" si="1">G2*J2</f>
        <v>640</v>
      </c>
      <c r="I2" s="6" t="s">
        <v>140</v>
      </c>
      <c r="J2" s="5">
        <v>2</v>
      </c>
    </row>
    <row r="3" spans="1:10" x14ac:dyDescent="0.25">
      <c r="A3" s="4">
        <v>2</v>
      </c>
      <c r="B3" s="5" t="s">
        <v>31</v>
      </c>
      <c r="C3" s="5" t="s">
        <v>32</v>
      </c>
      <c r="D3" s="5" t="s">
        <v>30</v>
      </c>
      <c r="E3" s="23">
        <f>0.415*0.42*0.3</f>
        <v>5.2289999999999996E-2</v>
      </c>
      <c r="F3" s="23">
        <f t="shared" si="0"/>
        <v>5.2289999999999996E-2</v>
      </c>
      <c r="G3" s="5">
        <v>57</v>
      </c>
      <c r="H3" s="5">
        <f t="shared" si="1"/>
        <v>57</v>
      </c>
      <c r="I3" s="6" t="s">
        <v>119</v>
      </c>
      <c r="J3" s="5">
        <v>1</v>
      </c>
    </row>
    <row r="4" spans="1:10" x14ac:dyDescent="0.25">
      <c r="A4" s="4">
        <v>3</v>
      </c>
      <c r="B4" s="5" t="s">
        <v>31</v>
      </c>
      <c r="C4" s="5" t="s">
        <v>33</v>
      </c>
      <c r="D4" s="5" t="s">
        <v>30</v>
      </c>
      <c r="E4" s="23">
        <f>0.415*0.42*0.3</f>
        <v>5.2289999999999996E-2</v>
      </c>
      <c r="F4" s="23">
        <f t="shared" si="0"/>
        <v>5.2289999999999996E-2</v>
      </c>
      <c r="G4" s="5">
        <v>57</v>
      </c>
      <c r="H4" s="5">
        <f t="shared" si="1"/>
        <v>57</v>
      </c>
      <c r="I4" s="6" t="s">
        <v>119</v>
      </c>
      <c r="J4" s="5">
        <v>1</v>
      </c>
    </row>
    <row r="5" spans="1:10" x14ac:dyDescent="0.25">
      <c r="A5" s="4">
        <v>4</v>
      </c>
      <c r="B5" s="5" t="s">
        <v>34</v>
      </c>
      <c r="C5" s="5"/>
      <c r="D5" s="5"/>
      <c r="E5" s="23"/>
      <c r="F5" s="23">
        <f t="shared" si="0"/>
        <v>0</v>
      </c>
      <c r="G5" s="5"/>
      <c r="H5" s="5">
        <f t="shared" si="1"/>
        <v>0</v>
      </c>
      <c r="I5" s="6"/>
      <c r="J5" s="5">
        <v>2</v>
      </c>
    </row>
    <row r="6" spans="1:10" x14ac:dyDescent="0.25">
      <c r="A6" s="4">
        <v>5</v>
      </c>
      <c r="B6" s="5" t="s">
        <v>35</v>
      </c>
      <c r="C6" s="5" t="s">
        <v>142</v>
      </c>
      <c r="D6" s="5" t="s">
        <v>38</v>
      </c>
      <c r="E6" s="23">
        <f>0.102*0.42*0.1</f>
        <v>4.2839999999999996E-3</v>
      </c>
      <c r="F6" s="23">
        <f t="shared" si="0"/>
        <v>1.7135999999999998E-2</v>
      </c>
      <c r="G6" s="5">
        <v>27</v>
      </c>
      <c r="H6" s="5">
        <f t="shared" si="1"/>
        <v>108</v>
      </c>
      <c r="I6" s="6" t="s">
        <v>36</v>
      </c>
      <c r="J6" s="5">
        <v>4</v>
      </c>
    </row>
    <row r="7" spans="1:10" x14ac:dyDescent="0.25">
      <c r="A7" s="4">
        <v>48</v>
      </c>
      <c r="B7" s="5" t="s">
        <v>125</v>
      </c>
      <c r="C7" s="5" t="s">
        <v>126</v>
      </c>
      <c r="D7" s="5" t="s">
        <v>123</v>
      </c>
      <c r="E7" s="23"/>
      <c r="F7" s="23">
        <f t="shared" si="0"/>
        <v>0</v>
      </c>
      <c r="G7" s="5">
        <v>17</v>
      </c>
      <c r="H7" s="5">
        <f t="shared" si="1"/>
        <v>17</v>
      </c>
      <c r="I7" s="6" t="s">
        <v>128</v>
      </c>
      <c r="J7" s="5">
        <v>1</v>
      </c>
    </row>
    <row r="8" spans="1:10" x14ac:dyDescent="0.25">
      <c r="A8" s="4">
        <v>6</v>
      </c>
      <c r="B8" s="5" t="s">
        <v>35</v>
      </c>
      <c r="C8" s="5" t="s">
        <v>144</v>
      </c>
      <c r="D8" s="5" t="s">
        <v>38</v>
      </c>
      <c r="E8" s="23">
        <f>1.82*0.62*0.1</f>
        <v>0.11284000000000001</v>
      </c>
      <c r="F8" s="23">
        <f t="shared" si="0"/>
        <v>0.22568000000000002</v>
      </c>
      <c r="G8" s="5">
        <v>52</v>
      </c>
      <c r="H8" s="5">
        <f t="shared" si="1"/>
        <v>104</v>
      </c>
      <c r="I8" s="6" t="s">
        <v>40</v>
      </c>
      <c r="J8" s="5">
        <v>2</v>
      </c>
    </row>
    <row r="9" spans="1:10" x14ac:dyDescent="0.25">
      <c r="A9" s="4">
        <v>7</v>
      </c>
      <c r="B9" s="5" t="s">
        <v>39</v>
      </c>
      <c r="C9" s="5" t="s">
        <v>145</v>
      </c>
      <c r="D9" s="5" t="s">
        <v>38</v>
      </c>
      <c r="E9" s="23">
        <f>0.82*0.42*0.2</f>
        <v>6.8879999999999997E-2</v>
      </c>
      <c r="F9" s="23">
        <f t="shared" si="0"/>
        <v>6.8879999999999997E-2</v>
      </c>
      <c r="G9" s="5">
        <v>8</v>
      </c>
      <c r="H9" s="5">
        <f t="shared" si="1"/>
        <v>8</v>
      </c>
      <c r="I9" s="6" t="s">
        <v>41</v>
      </c>
      <c r="J9" s="5">
        <v>1</v>
      </c>
    </row>
    <row r="10" spans="1:10" x14ac:dyDescent="0.25">
      <c r="A10" s="4">
        <v>7</v>
      </c>
      <c r="B10" s="5" t="s">
        <v>39</v>
      </c>
      <c r="C10" s="5" t="s">
        <v>145</v>
      </c>
      <c r="D10" s="5" t="s">
        <v>38</v>
      </c>
      <c r="E10" s="23">
        <f>0.82*0.42*0.2</f>
        <v>6.8879999999999997E-2</v>
      </c>
      <c r="F10" s="23">
        <f t="shared" si="0"/>
        <v>6.8879999999999997E-2</v>
      </c>
      <c r="G10" s="5">
        <v>8</v>
      </c>
      <c r="H10" s="5">
        <f t="shared" si="1"/>
        <v>8</v>
      </c>
      <c r="I10" s="6" t="s">
        <v>41</v>
      </c>
      <c r="J10" s="5">
        <v>1</v>
      </c>
    </row>
    <row r="11" spans="1:10" x14ac:dyDescent="0.25">
      <c r="A11" s="4">
        <v>8</v>
      </c>
      <c r="B11" s="5" t="s">
        <v>42</v>
      </c>
      <c r="C11" s="5" t="s">
        <v>146</v>
      </c>
      <c r="D11" s="5" t="s">
        <v>38</v>
      </c>
      <c r="E11" s="23">
        <f>1.52*0.62*0.49</f>
        <v>0.46177600000000002</v>
      </c>
      <c r="F11" s="23">
        <f t="shared" si="0"/>
        <v>0.46177600000000002</v>
      </c>
      <c r="G11" s="5">
        <v>32</v>
      </c>
      <c r="H11" s="5">
        <f t="shared" si="1"/>
        <v>32</v>
      </c>
      <c r="I11" s="6" t="s">
        <v>44</v>
      </c>
      <c r="J11" s="5">
        <v>1</v>
      </c>
    </row>
    <row r="12" spans="1:10" x14ac:dyDescent="0.25">
      <c r="A12" s="4">
        <v>9</v>
      </c>
      <c r="B12" s="5" t="s">
        <v>35</v>
      </c>
      <c r="C12" s="5" t="s">
        <v>147</v>
      </c>
      <c r="D12" s="5" t="s">
        <v>38</v>
      </c>
      <c r="E12" s="23">
        <f>1.82*0.42*0.1</f>
        <v>7.6440000000000008E-2</v>
      </c>
      <c r="F12" s="23">
        <f t="shared" si="0"/>
        <v>7.6440000000000008E-2</v>
      </c>
      <c r="G12" s="5">
        <v>41</v>
      </c>
      <c r="H12" s="5">
        <f t="shared" si="1"/>
        <v>41</v>
      </c>
      <c r="I12" s="6" t="s">
        <v>43</v>
      </c>
      <c r="J12" s="5">
        <v>1</v>
      </c>
    </row>
    <row r="13" spans="1:10" x14ac:dyDescent="0.25">
      <c r="A13" s="4">
        <v>10</v>
      </c>
      <c r="B13" s="5" t="s">
        <v>47</v>
      </c>
      <c r="C13" s="5" t="s">
        <v>151</v>
      </c>
      <c r="D13" s="5" t="s">
        <v>38</v>
      </c>
      <c r="E13" s="23">
        <f>1.52*0.32*0.1</f>
        <v>4.8640000000000003E-2</v>
      </c>
      <c r="F13" s="23">
        <f t="shared" si="0"/>
        <v>4.8640000000000003E-2</v>
      </c>
      <c r="G13" s="5">
        <v>8</v>
      </c>
      <c r="H13" s="5">
        <f t="shared" si="1"/>
        <v>8</v>
      </c>
      <c r="I13" s="6" t="s">
        <v>152</v>
      </c>
      <c r="J13" s="5">
        <v>1</v>
      </c>
    </row>
    <row r="14" spans="1:10" x14ac:dyDescent="0.25">
      <c r="A14" s="4">
        <v>11</v>
      </c>
      <c r="B14" s="5" t="s">
        <v>46</v>
      </c>
      <c r="C14" s="5" t="s">
        <v>113</v>
      </c>
      <c r="D14" s="5" t="s">
        <v>129</v>
      </c>
      <c r="E14" s="23">
        <f>0.36*0.48*0.8</f>
        <v>0.13824</v>
      </c>
      <c r="F14" s="23">
        <f t="shared" si="0"/>
        <v>0.13824</v>
      </c>
      <c r="G14" s="5">
        <v>42</v>
      </c>
      <c r="H14" s="5">
        <f t="shared" si="1"/>
        <v>42</v>
      </c>
      <c r="I14" s="6" t="s">
        <v>114</v>
      </c>
      <c r="J14" s="5">
        <v>1</v>
      </c>
    </row>
    <row r="15" spans="1:10" x14ac:dyDescent="0.25">
      <c r="A15" s="18">
        <v>12</v>
      </c>
      <c r="B15" s="19" t="s">
        <v>48</v>
      </c>
      <c r="C15" s="20" t="s">
        <v>215</v>
      </c>
      <c r="D15" s="19" t="s">
        <v>60</v>
      </c>
      <c r="E15" s="23">
        <f>0.22*0.61*0.52</f>
        <v>6.9783999999999999E-2</v>
      </c>
      <c r="F15" s="23">
        <f t="shared" si="0"/>
        <v>6.9783999999999999E-2</v>
      </c>
      <c r="G15" s="19">
        <v>24</v>
      </c>
      <c r="H15" s="5">
        <f t="shared" si="1"/>
        <v>24</v>
      </c>
      <c r="I15" s="18" t="s">
        <v>216</v>
      </c>
      <c r="J15" s="19">
        <v>1</v>
      </c>
    </row>
    <row r="16" spans="1:10" x14ac:dyDescent="0.25">
      <c r="A16" s="4">
        <v>13</v>
      </c>
      <c r="B16" s="5" t="s">
        <v>49</v>
      </c>
      <c r="C16" s="5" t="s">
        <v>52</v>
      </c>
      <c r="D16" s="5" t="s">
        <v>30</v>
      </c>
      <c r="E16" s="23">
        <f>0.697*2.028*0.854</f>
        <v>1.207142664</v>
      </c>
      <c r="F16" s="23">
        <f t="shared" si="0"/>
        <v>1.207142664</v>
      </c>
      <c r="G16" s="5">
        <v>170</v>
      </c>
      <c r="H16" s="5">
        <f t="shared" si="1"/>
        <v>170</v>
      </c>
      <c r="I16" s="6" t="s">
        <v>53</v>
      </c>
      <c r="J16" s="5">
        <v>1</v>
      </c>
    </row>
    <row r="17" spans="1:10" x14ac:dyDescent="0.25">
      <c r="A17" s="4">
        <v>14</v>
      </c>
      <c r="B17" s="5" t="s">
        <v>42</v>
      </c>
      <c r="C17" s="5" t="s">
        <v>190</v>
      </c>
      <c r="D17" s="5" t="s">
        <v>191</v>
      </c>
      <c r="E17" s="23">
        <f>0.87*0.42*0.22</f>
        <v>8.0388000000000001E-2</v>
      </c>
      <c r="F17" s="23">
        <f t="shared" si="0"/>
        <v>8.0388000000000001E-2</v>
      </c>
      <c r="G17" s="5">
        <v>15</v>
      </c>
      <c r="H17" s="5">
        <f t="shared" si="1"/>
        <v>15</v>
      </c>
      <c r="I17" s="6" t="s">
        <v>192</v>
      </c>
      <c r="J17" s="5">
        <v>1</v>
      </c>
    </row>
    <row r="18" spans="1:10" x14ac:dyDescent="0.25">
      <c r="A18" s="4">
        <v>33</v>
      </c>
      <c r="B18" s="5" t="s">
        <v>73</v>
      </c>
      <c r="C18" s="5" t="s">
        <v>166</v>
      </c>
      <c r="D18" s="5" t="s">
        <v>165</v>
      </c>
      <c r="E18" s="23">
        <f>1.22*0.62*0.22</f>
        <v>0.166408</v>
      </c>
      <c r="F18" s="23">
        <f t="shared" si="0"/>
        <v>0.332816</v>
      </c>
      <c r="G18" s="5">
        <v>24</v>
      </c>
      <c r="H18" s="5">
        <f t="shared" si="1"/>
        <v>48</v>
      </c>
      <c r="I18" s="6" t="s">
        <v>74</v>
      </c>
      <c r="J18" s="5">
        <v>2</v>
      </c>
    </row>
    <row r="19" spans="1:10" x14ac:dyDescent="0.25">
      <c r="A19" s="4">
        <v>36</v>
      </c>
      <c r="B19" s="5" t="s">
        <v>47</v>
      </c>
      <c r="C19" s="5" t="s">
        <v>79</v>
      </c>
      <c r="D19" s="5" t="s">
        <v>38</v>
      </c>
      <c r="E19" s="23">
        <f>1.22*0.32*0.1</f>
        <v>3.9040000000000005E-2</v>
      </c>
      <c r="F19" s="23">
        <f t="shared" si="0"/>
        <v>3.9040000000000005E-2</v>
      </c>
      <c r="G19" s="5">
        <v>7</v>
      </c>
      <c r="H19" s="5">
        <f t="shared" si="1"/>
        <v>7</v>
      </c>
      <c r="I19" s="6" t="s">
        <v>78</v>
      </c>
      <c r="J19" s="5">
        <v>1</v>
      </c>
    </row>
    <row r="20" spans="1:10" x14ac:dyDescent="0.25">
      <c r="A20" s="4">
        <v>34</v>
      </c>
      <c r="B20" s="5" t="s">
        <v>77</v>
      </c>
      <c r="C20" s="5" t="s">
        <v>76</v>
      </c>
      <c r="D20" s="5" t="s">
        <v>38</v>
      </c>
      <c r="E20" s="23">
        <f>0.87*0.62*0.49</f>
        <v>0.26430599999999999</v>
      </c>
      <c r="F20" s="23">
        <f t="shared" si="0"/>
        <v>0.52861199999999997</v>
      </c>
      <c r="G20" s="5">
        <v>14</v>
      </c>
      <c r="H20" s="5">
        <f t="shared" si="1"/>
        <v>28</v>
      </c>
      <c r="I20" s="6" t="s">
        <v>75</v>
      </c>
      <c r="J20" s="5">
        <v>2</v>
      </c>
    </row>
    <row r="21" spans="1:10" x14ac:dyDescent="0.25">
      <c r="A21" s="4">
        <v>10</v>
      </c>
      <c r="B21" s="5" t="s">
        <v>47</v>
      </c>
      <c r="C21" s="5" t="s">
        <v>151</v>
      </c>
      <c r="D21" s="5" t="s">
        <v>38</v>
      </c>
      <c r="E21" s="23">
        <f>1.52*0.32*0.1</f>
        <v>4.8640000000000003E-2</v>
      </c>
      <c r="F21" s="23">
        <f t="shared" si="0"/>
        <v>4.8640000000000003E-2</v>
      </c>
      <c r="G21" s="5">
        <v>8</v>
      </c>
      <c r="H21" s="5">
        <f t="shared" si="1"/>
        <v>8</v>
      </c>
      <c r="I21" s="6" t="s">
        <v>152</v>
      </c>
      <c r="J21" s="5">
        <v>1</v>
      </c>
    </row>
    <row r="22" spans="1:10" x14ac:dyDescent="0.25">
      <c r="A22" s="4">
        <v>16</v>
      </c>
      <c r="B22" s="5" t="s">
        <v>59</v>
      </c>
      <c r="C22" s="5" t="s">
        <v>58</v>
      </c>
      <c r="D22" s="5" t="s">
        <v>38</v>
      </c>
      <c r="E22" s="23">
        <f>0.32*0.37*0.32</f>
        <v>3.7888000000000005E-2</v>
      </c>
      <c r="F22" s="23">
        <f t="shared" si="0"/>
        <v>3.7888000000000005E-2</v>
      </c>
      <c r="G22" s="5">
        <v>4</v>
      </c>
      <c r="H22" s="5">
        <f t="shared" si="1"/>
        <v>4</v>
      </c>
      <c r="I22" s="6" t="s">
        <v>57</v>
      </c>
      <c r="J22" s="5">
        <v>1</v>
      </c>
    </row>
    <row r="23" spans="1:10" x14ac:dyDescent="0.25">
      <c r="A23" s="4">
        <v>17</v>
      </c>
      <c r="B23" s="5" t="s">
        <v>51</v>
      </c>
      <c r="C23" s="5" t="s">
        <v>153</v>
      </c>
      <c r="D23" s="5" t="s">
        <v>60</v>
      </c>
      <c r="E23" s="25">
        <v>7.0000000000000007E-2</v>
      </c>
      <c r="F23" s="23">
        <f t="shared" si="0"/>
        <v>7.0000000000000007E-2</v>
      </c>
      <c r="G23" s="5">
        <v>23</v>
      </c>
      <c r="H23" s="5">
        <f t="shared" si="1"/>
        <v>23</v>
      </c>
      <c r="I23" s="6" t="s">
        <v>154</v>
      </c>
      <c r="J23" s="5">
        <v>1</v>
      </c>
    </row>
    <row r="24" spans="1:10" x14ac:dyDescent="0.25">
      <c r="A24" s="4">
        <v>18</v>
      </c>
      <c r="B24" s="5" t="s">
        <v>61</v>
      </c>
      <c r="C24" s="5" t="s">
        <v>116</v>
      </c>
      <c r="D24" s="5" t="s">
        <v>123</v>
      </c>
      <c r="E24" s="23">
        <f>0.3*0.35*0.2</f>
        <v>2.1000000000000001E-2</v>
      </c>
      <c r="F24" s="23">
        <f t="shared" si="0"/>
        <v>2.1000000000000001E-2</v>
      </c>
      <c r="G24" s="5">
        <v>2.7</v>
      </c>
      <c r="H24" s="5">
        <f t="shared" si="1"/>
        <v>2.7</v>
      </c>
      <c r="I24" s="6" t="s">
        <v>118</v>
      </c>
      <c r="J24" s="5">
        <v>1</v>
      </c>
    </row>
    <row r="25" spans="1:10" x14ac:dyDescent="0.25">
      <c r="A25" s="4">
        <v>15</v>
      </c>
      <c r="B25" s="5" t="s">
        <v>186</v>
      </c>
      <c r="C25" s="5" t="s">
        <v>180</v>
      </c>
      <c r="D25" s="5" t="s">
        <v>60</v>
      </c>
      <c r="E25" s="23">
        <f>0.59*0.51*0.7</f>
        <v>0.21062999999999998</v>
      </c>
      <c r="F25" s="23">
        <f t="shared" si="0"/>
        <v>0.21062999999999998</v>
      </c>
      <c r="G25" s="5">
        <v>42</v>
      </c>
      <c r="H25" s="5">
        <f t="shared" si="1"/>
        <v>42</v>
      </c>
      <c r="I25" s="6" t="s">
        <v>185</v>
      </c>
      <c r="J25" s="5">
        <v>1</v>
      </c>
    </row>
    <row r="26" spans="1:10" x14ac:dyDescent="0.25">
      <c r="A26" s="4">
        <v>49</v>
      </c>
      <c r="B26" s="5" t="s">
        <v>183</v>
      </c>
      <c r="C26" s="5" t="s">
        <v>181</v>
      </c>
      <c r="D26" s="5" t="s">
        <v>60</v>
      </c>
      <c r="E26" s="26">
        <f>0.72*0.47*0.76</f>
        <v>0.25718399999999997</v>
      </c>
      <c r="F26" s="23">
        <f t="shared" si="0"/>
        <v>0.25718399999999997</v>
      </c>
      <c r="G26" s="5">
        <v>67</v>
      </c>
      <c r="H26" s="5">
        <f t="shared" si="1"/>
        <v>67</v>
      </c>
      <c r="I26" s="6" t="s">
        <v>182</v>
      </c>
      <c r="J26" s="5">
        <v>1</v>
      </c>
    </row>
    <row r="27" spans="1:10" x14ac:dyDescent="0.25">
      <c r="A27" s="4">
        <v>50</v>
      </c>
      <c r="B27" s="5" t="s">
        <v>188</v>
      </c>
      <c r="C27" s="5" t="s">
        <v>197</v>
      </c>
      <c r="D27" s="5" t="s">
        <v>191</v>
      </c>
      <c r="E27" s="23">
        <f>1.82*0.72*0.2</f>
        <v>0.26208000000000004</v>
      </c>
      <c r="F27" s="23">
        <f t="shared" si="0"/>
        <v>0.26208000000000004</v>
      </c>
      <c r="G27" s="5">
        <v>56</v>
      </c>
      <c r="H27" s="5">
        <f t="shared" si="1"/>
        <v>56</v>
      </c>
      <c r="I27" s="6" t="s">
        <v>196</v>
      </c>
      <c r="J27" s="5">
        <v>1</v>
      </c>
    </row>
    <row r="28" spans="1:10" x14ac:dyDescent="0.25">
      <c r="A28" s="4">
        <v>51</v>
      </c>
      <c r="B28" s="5" t="s">
        <v>194</v>
      </c>
      <c r="C28" s="5" t="s">
        <v>195</v>
      </c>
      <c r="D28" s="5" t="s">
        <v>38</v>
      </c>
      <c r="E28" s="23">
        <f>0.41*0.58*1.63</f>
        <v>0.3876139999999999</v>
      </c>
      <c r="F28" s="23">
        <f t="shared" si="0"/>
        <v>0.3876139999999999</v>
      </c>
      <c r="G28" s="5">
        <v>26</v>
      </c>
      <c r="H28" s="5">
        <f t="shared" si="1"/>
        <v>26</v>
      </c>
      <c r="I28" s="6" t="s">
        <v>74</v>
      </c>
      <c r="J28" s="5">
        <v>1</v>
      </c>
    </row>
    <row r="29" spans="1:10" x14ac:dyDescent="0.25">
      <c r="A29" s="4">
        <v>19</v>
      </c>
      <c r="B29" s="5" t="s">
        <v>62</v>
      </c>
      <c r="C29" s="5" t="s">
        <v>135</v>
      </c>
      <c r="D29" s="5" t="s">
        <v>136</v>
      </c>
      <c r="E29" s="23">
        <f>0.1*0.52*1.88</f>
        <v>9.776E-2</v>
      </c>
      <c r="F29" s="23">
        <f t="shared" si="0"/>
        <v>0.58655999999999997</v>
      </c>
      <c r="G29" s="5">
        <v>38</v>
      </c>
      <c r="H29" s="5">
        <f t="shared" si="1"/>
        <v>228</v>
      </c>
      <c r="I29" s="6" t="s">
        <v>218</v>
      </c>
      <c r="J29" s="5">
        <v>6</v>
      </c>
    </row>
    <row r="30" spans="1:10" x14ac:dyDescent="0.25">
      <c r="A30" s="4">
        <v>20</v>
      </c>
      <c r="B30" s="5" t="s">
        <v>63</v>
      </c>
      <c r="C30" s="14" t="s">
        <v>198</v>
      </c>
      <c r="D30" s="5" t="s">
        <v>38</v>
      </c>
      <c r="E30" s="23">
        <f>1.22*0.62*0.22</f>
        <v>0.166408</v>
      </c>
      <c r="F30" s="23">
        <f t="shared" si="0"/>
        <v>0.166408</v>
      </c>
      <c r="G30" s="5">
        <v>19</v>
      </c>
      <c r="H30" s="5">
        <f t="shared" si="1"/>
        <v>19</v>
      </c>
      <c r="I30" s="6" t="s">
        <v>74</v>
      </c>
      <c r="J30" s="5">
        <v>1</v>
      </c>
    </row>
    <row r="31" spans="1:10" x14ac:dyDescent="0.25">
      <c r="A31" s="4">
        <v>23</v>
      </c>
      <c r="B31" s="5" t="s">
        <v>202</v>
      </c>
      <c r="C31" s="14" t="s">
        <v>199</v>
      </c>
      <c r="D31" s="5" t="s">
        <v>38</v>
      </c>
      <c r="E31" s="23">
        <f>1.22*0.62*0.22</f>
        <v>0.166408</v>
      </c>
      <c r="F31" s="23">
        <f t="shared" si="0"/>
        <v>0.166408</v>
      </c>
      <c r="G31" s="5">
        <v>19</v>
      </c>
      <c r="H31" s="5">
        <f t="shared" si="1"/>
        <v>19</v>
      </c>
      <c r="I31" s="6" t="s">
        <v>44</v>
      </c>
      <c r="J31" s="5">
        <v>1</v>
      </c>
    </row>
    <row r="32" spans="1:10" x14ac:dyDescent="0.25">
      <c r="A32" s="4">
        <v>22</v>
      </c>
      <c r="B32" s="5" t="s">
        <v>64</v>
      </c>
      <c r="C32" s="15" t="s">
        <v>203</v>
      </c>
      <c r="D32" s="5" t="s">
        <v>204</v>
      </c>
      <c r="E32" s="23">
        <f>0.62*0.62*0.4</f>
        <v>0.15376000000000001</v>
      </c>
      <c r="F32" s="23">
        <f t="shared" si="0"/>
        <v>0.15376000000000001</v>
      </c>
      <c r="G32" s="5">
        <v>60</v>
      </c>
      <c r="H32" s="5">
        <f t="shared" si="1"/>
        <v>60</v>
      </c>
      <c r="I32" s="6" t="s">
        <v>205</v>
      </c>
      <c r="J32" s="5">
        <v>1</v>
      </c>
    </row>
    <row r="33" spans="1:10" x14ac:dyDescent="0.25">
      <c r="A33" s="4">
        <v>24</v>
      </c>
      <c r="B33" s="5" t="s">
        <v>65</v>
      </c>
      <c r="C33" s="14" t="s">
        <v>200</v>
      </c>
      <c r="D33" s="5" t="s">
        <v>38</v>
      </c>
      <c r="E33" s="23">
        <f>1.52*0.62*0.1</f>
        <v>9.4240000000000004E-2</v>
      </c>
      <c r="F33" s="23">
        <f t="shared" si="0"/>
        <v>9.4240000000000004E-2</v>
      </c>
      <c r="G33" s="5">
        <v>45</v>
      </c>
      <c r="H33" s="5">
        <f t="shared" si="1"/>
        <v>45</v>
      </c>
      <c r="I33" s="6" t="s">
        <v>201</v>
      </c>
      <c r="J33" s="5">
        <v>1</v>
      </c>
    </row>
    <row r="34" spans="1:10" x14ac:dyDescent="0.25">
      <c r="A34" s="4">
        <v>25</v>
      </c>
      <c r="B34" s="5" t="s">
        <v>65</v>
      </c>
      <c r="C34" s="14" t="s">
        <v>149</v>
      </c>
      <c r="D34" s="5" t="s">
        <v>38</v>
      </c>
      <c r="E34" s="23">
        <f>1.02*0.62*0.1</f>
        <v>6.3240000000000005E-2</v>
      </c>
      <c r="F34" s="23">
        <f t="shared" ref="F34:F65" si="2">E34*J34</f>
        <v>0.12648000000000001</v>
      </c>
      <c r="G34" s="5">
        <v>34</v>
      </c>
      <c r="H34" s="5">
        <f t="shared" ref="H34:H65" si="3">G34*J34</f>
        <v>68</v>
      </c>
      <c r="I34" s="6" t="s">
        <v>69</v>
      </c>
      <c r="J34" s="5">
        <v>2</v>
      </c>
    </row>
    <row r="35" spans="1:10" x14ac:dyDescent="0.25">
      <c r="A35" s="4">
        <v>26</v>
      </c>
      <c r="B35" s="5" t="s">
        <v>70</v>
      </c>
      <c r="C35" s="5" t="s">
        <v>132</v>
      </c>
      <c r="D35" s="5" t="s">
        <v>133</v>
      </c>
      <c r="E35" s="23">
        <f>0.2*0.1*0.8</f>
        <v>1.6000000000000004E-2</v>
      </c>
      <c r="F35" s="23">
        <f t="shared" si="2"/>
        <v>1.6000000000000004E-2</v>
      </c>
      <c r="G35" s="5">
        <v>7.6</v>
      </c>
      <c r="H35" s="5">
        <f t="shared" si="3"/>
        <v>7.6</v>
      </c>
      <c r="I35" s="6"/>
      <c r="J35" s="5">
        <v>1</v>
      </c>
    </row>
    <row r="36" spans="1:10" x14ac:dyDescent="0.25">
      <c r="A36" s="4">
        <v>27</v>
      </c>
      <c r="B36" s="5" t="s">
        <v>217</v>
      </c>
      <c r="C36" s="15" t="s">
        <v>170</v>
      </c>
      <c r="D36" s="5" t="s">
        <v>71</v>
      </c>
      <c r="E36" s="23">
        <f>0.75*0.773*1.107</f>
        <v>0.64178325000000003</v>
      </c>
      <c r="F36" s="23">
        <f t="shared" si="2"/>
        <v>0.64178325000000003</v>
      </c>
      <c r="G36" s="5">
        <v>90</v>
      </c>
      <c r="H36" s="5">
        <f t="shared" si="3"/>
        <v>90</v>
      </c>
      <c r="I36" s="6" t="s">
        <v>172</v>
      </c>
      <c r="J36" s="5">
        <v>1</v>
      </c>
    </row>
    <row r="37" spans="1:10" x14ac:dyDescent="0.25">
      <c r="A37" s="4" t="s">
        <v>72</v>
      </c>
      <c r="B37" s="21" t="s">
        <v>169</v>
      </c>
      <c r="C37" s="15" t="s">
        <v>174</v>
      </c>
      <c r="D37" s="5" t="s">
        <v>71</v>
      </c>
      <c r="E37" s="23">
        <f>0.75*0.792*0.773</f>
        <v>0.45916200000000007</v>
      </c>
      <c r="F37" s="23">
        <f t="shared" si="2"/>
        <v>0.45916200000000007</v>
      </c>
      <c r="G37" s="5">
        <v>58</v>
      </c>
      <c r="H37" s="5">
        <f t="shared" si="3"/>
        <v>58</v>
      </c>
      <c r="I37" s="6" t="s">
        <v>173</v>
      </c>
      <c r="J37" s="5">
        <v>1</v>
      </c>
    </row>
    <row r="38" spans="1:10" x14ac:dyDescent="0.25">
      <c r="A38" s="4">
        <v>28</v>
      </c>
      <c r="B38" s="5" t="s">
        <v>178</v>
      </c>
      <c r="C38" s="15" t="s">
        <v>175</v>
      </c>
      <c r="D38" s="5" t="s">
        <v>161</v>
      </c>
      <c r="E38" s="23">
        <f>1*0.9*1.1</f>
        <v>0.9900000000000001</v>
      </c>
      <c r="F38" s="23">
        <f t="shared" si="2"/>
        <v>0.9900000000000001</v>
      </c>
      <c r="G38" s="5">
        <v>69</v>
      </c>
      <c r="H38" s="5">
        <f t="shared" si="3"/>
        <v>69</v>
      </c>
      <c r="I38" s="6" t="s">
        <v>162</v>
      </c>
      <c r="J38" s="5">
        <v>1</v>
      </c>
    </row>
    <row r="39" spans="1:10" x14ac:dyDescent="0.25">
      <c r="A39" s="4">
        <v>29</v>
      </c>
      <c r="B39" s="5" t="s">
        <v>177</v>
      </c>
      <c r="C39" s="15" t="s">
        <v>176</v>
      </c>
      <c r="D39" s="5" t="s">
        <v>161</v>
      </c>
      <c r="E39" s="23">
        <v>0.99</v>
      </c>
      <c r="F39" s="23">
        <f t="shared" si="2"/>
        <v>0.99</v>
      </c>
      <c r="G39" s="5">
        <v>130</v>
      </c>
      <c r="H39" s="5">
        <f t="shared" si="3"/>
        <v>130</v>
      </c>
      <c r="I39" s="6" t="s">
        <v>162</v>
      </c>
      <c r="J39" s="5">
        <v>1</v>
      </c>
    </row>
    <row r="40" spans="1:10" x14ac:dyDescent="0.25">
      <c r="A40" s="4">
        <v>30</v>
      </c>
      <c r="B40" s="5" t="s">
        <v>73</v>
      </c>
      <c r="C40" s="15" t="s">
        <v>168</v>
      </c>
      <c r="D40" s="5" t="s">
        <v>165</v>
      </c>
      <c r="E40" s="23">
        <f>0.87*0.72*0.22</f>
        <v>0.13780799999999999</v>
      </c>
      <c r="F40" s="23">
        <f t="shared" si="2"/>
        <v>0.13780799999999999</v>
      </c>
      <c r="G40" s="5">
        <v>18</v>
      </c>
      <c r="H40" s="5">
        <f t="shared" si="3"/>
        <v>18</v>
      </c>
      <c r="I40" s="6" t="s">
        <v>156</v>
      </c>
      <c r="J40" s="5">
        <v>1</v>
      </c>
    </row>
    <row r="41" spans="1:10" x14ac:dyDescent="0.25">
      <c r="A41" s="4">
        <v>32</v>
      </c>
      <c r="B41" s="5" t="s">
        <v>73</v>
      </c>
      <c r="C41" s="15" t="s">
        <v>167</v>
      </c>
      <c r="D41" s="5" t="s">
        <v>165</v>
      </c>
      <c r="E41" s="23">
        <f>1.02*0.62*0.22</f>
        <v>0.139128</v>
      </c>
      <c r="F41" s="23">
        <f t="shared" si="2"/>
        <v>0.41738399999999998</v>
      </c>
      <c r="G41" s="5">
        <v>21</v>
      </c>
      <c r="H41" s="5">
        <f t="shared" si="3"/>
        <v>63</v>
      </c>
      <c r="I41" s="6" t="s">
        <v>67</v>
      </c>
      <c r="J41" s="5">
        <v>3</v>
      </c>
    </row>
    <row r="42" spans="1:10" x14ac:dyDescent="0.25">
      <c r="A42" s="4">
        <v>33</v>
      </c>
      <c r="B42" s="5" t="s">
        <v>73</v>
      </c>
      <c r="C42" s="5" t="s">
        <v>166</v>
      </c>
      <c r="D42" s="5" t="s">
        <v>165</v>
      </c>
      <c r="E42" s="23">
        <f>1.22*0.62*0.22</f>
        <v>0.166408</v>
      </c>
      <c r="F42" s="23">
        <f t="shared" si="2"/>
        <v>0.166408</v>
      </c>
      <c r="G42" s="5">
        <v>24</v>
      </c>
      <c r="H42" s="5">
        <f t="shared" si="3"/>
        <v>24</v>
      </c>
      <c r="I42" s="6" t="s">
        <v>74</v>
      </c>
      <c r="J42" s="5">
        <v>1</v>
      </c>
    </row>
    <row r="43" spans="1:10" x14ac:dyDescent="0.25">
      <c r="A43" s="4">
        <v>25</v>
      </c>
      <c r="B43" s="5" t="s">
        <v>65</v>
      </c>
      <c r="C43" s="5" t="s">
        <v>149</v>
      </c>
      <c r="D43" s="5" t="s">
        <v>38</v>
      </c>
      <c r="E43" s="23">
        <f>1.02*0.62*0.1</f>
        <v>6.3240000000000005E-2</v>
      </c>
      <c r="F43" s="23">
        <f t="shared" si="2"/>
        <v>0.12648000000000001</v>
      </c>
      <c r="G43" s="5">
        <v>34</v>
      </c>
      <c r="H43" s="5">
        <f t="shared" si="3"/>
        <v>68</v>
      </c>
      <c r="I43" s="6" t="s">
        <v>69</v>
      </c>
      <c r="J43" s="5">
        <v>2</v>
      </c>
    </row>
    <row r="44" spans="1:10" x14ac:dyDescent="0.25">
      <c r="A44" s="4">
        <v>21</v>
      </c>
      <c r="B44" s="5" t="s">
        <v>50</v>
      </c>
      <c r="C44" s="5" t="s">
        <v>148</v>
      </c>
      <c r="D44" s="5" t="s">
        <v>38</v>
      </c>
      <c r="E44" s="23">
        <f>1.02*0.62*0.49</f>
        <v>0.30987599999999998</v>
      </c>
      <c r="F44" s="23">
        <f t="shared" si="2"/>
        <v>0.30987599999999998</v>
      </c>
      <c r="G44" s="5">
        <v>18</v>
      </c>
      <c r="H44" s="5">
        <f t="shared" si="3"/>
        <v>18</v>
      </c>
      <c r="I44" s="6" t="s">
        <v>67</v>
      </c>
      <c r="J44" s="5">
        <v>1</v>
      </c>
    </row>
    <row r="45" spans="1:10" x14ac:dyDescent="0.25">
      <c r="A45" s="4">
        <v>34</v>
      </c>
      <c r="B45" s="5" t="s">
        <v>77</v>
      </c>
      <c r="C45" s="5" t="s">
        <v>150</v>
      </c>
      <c r="D45" s="5" t="s">
        <v>38</v>
      </c>
      <c r="E45" s="23">
        <f>0.87*0.62*0.49</f>
        <v>0.26430599999999999</v>
      </c>
      <c r="F45" s="23">
        <f t="shared" si="2"/>
        <v>0.52861199999999997</v>
      </c>
      <c r="G45" s="5">
        <v>13</v>
      </c>
      <c r="H45" s="5">
        <f t="shared" si="3"/>
        <v>26</v>
      </c>
      <c r="I45" s="6" t="s">
        <v>75</v>
      </c>
      <c r="J45" s="5">
        <v>2</v>
      </c>
    </row>
    <row r="46" spans="1:10" x14ac:dyDescent="0.25">
      <c r="A46" s="4">
        <v>35</v>
      </c>
      <c r="B46" s="5" t="s">
        <v>47</v>
      </c>
      <c r="C46" s="5" t="s">
        <v>157</v>
      </c>
      <c r="D46" s="5" t="s">
        <v>38</v>
      </c>
      <c r="E46" s="23">
        <f>1.02*0.32*0.1</f>
        <v>3.2640000000000002E-2</v>
      </c>
      <c r="F46" s="23">
        <f t="shared" si="2"/>
        <v>3.2640000000000002E-2</v>
      </c>
      <c r="G46" s="5">
        <v>6</v>
      </c>
      <c r="H46" s="5">
        <f t="shared" si="3"/>
        <v>6</v>
      </c>
      <c r="I46" s="6" t="s">
        <v>159</v>
      </c>
      <c r="J46" s="5">
        <v>1</v>
      </c>
    </row>
    <row r="47" spans="1:10" x14ac:dyDescent="0.25">
      <c r="A47" s="4">
        <v>36</v>
      </c>
      <c r="B47" s="5" t="s">
        <v>47</v>
      </c>
      <c r="C47" s="5" t="s">
        <v>158</v>
      </c>
      <c r="D47" s="5" t="s">
        <v>38</v>
      </c>
      <c r="E47" s="23">
        <f>1.22*0.32*0.1</f>
        <v>3.9040000000000005E-2</v>
      </c>
      <c r="F47" s="23">
        <f t="shared" si="2"/>
        <v>3.9040000000000005E-2</v>
      </c>
      <c r="G47" s="5">
        <v>7</v>
      </c>
      <c r="H47" s="5">
        <f t="shared" si="3"/>
        <v>7</v>
      </c>
      <c r="I47" s="6" t="s">
        <v>160</v>
      </c>
      <c r="J47" s="5">
        <v>1</v>
      </c>
    </row>
    <row r="48" spans="1:10" x14ac:dyDescent="0.25">
      <c r="A48" s="4">
        <v>10</v>
      </c>
      <c r="B48" s="5" t="s">
        <v>47</v>
      </c>
      <c r="C48" s="5" t="s">
        <v>151</v>
      </c>
      <c r="D48" s="5" t="s">
        <v>38</v>
      </c>
      <c r="E48" s="23">
        <f>1.52*0.32*0.1</f>
        <v>4.8640000000000003E-2</v>
      </c>
      <c r="F48" s="23">
        <f t="shared" si="2"/>
        <v>4.8640000000000003E-2</v>
      </c>
      <c r="G48" s="5">
        <v>8</v>
      </c>
      <c r="H48" s="5">
        <f t="shared" si="3"/>
        <v>8</v>
      </c>
      <c r="I48" s="6" t="s">
        <v>152</v>
      </c>
      <c r="J48" s="5">
        <v>1</v>
      </c>
    </row>
    <row r="49" spans="1:10" x14ac:dyDescent="0.25">
      <c r="A49" s="4">
        <v>13</v>
      </c>
      <c r="B49" s="5" t="s">
        <v>49</v>
      </c>
      <c r="C49" s="5" t="s">
        <v>52</v>
      </c>
      <c r="D49" s="5" t="s">
        <v>30</v>
      </c>
      <c r="E49" s="23">
        <f>0.697*2.028*0.854</f>
        <v>1.207142664</v>
      </c>
      <c r="F49" s="23">
        <f t="shared" si="2"/>
        <v>2.4142853280000001</v>
      </c>
      <c r="G49" s="5">
        <v>170</v>
      </c>
      <c r="H49" s="5">
        <f t="shared" si="3"/>
        <v>340</v>
      </c>
      <c r="I49" s="6" t="s">
        <v>53</v>
      </c>
      <c r="J49" s="5">
        <v>2</v>
      </c>
    </row>
    <row r="50" spans="1:10" x14ac:dyDescent="0.25">
      <c r="A50" s="4">
        <v>37</v>
      </c>
      <c r="B50" s="5" t="s">
        <v>80</v>
      </c>
      <c r="C50" s="5" t="s">
        <v>82</v>
      </c>
      <c r="D50" s="5" t="s">
        <v>38</v>
      </c>
      <c r="E50" s="23">
        <f>1.02*1.02*0.37</f>
        <v>0.38494800000000001</v>
      </c>
      <c r="F50" s="23">
        <f t="shared" si="2"/>
        <v>0.38494800000000001</v>
      </c>
      <c r="G50" s="5">
        <v>24</v>
      </c>
      <c r="H50" s="5">
        <f t="shared" si="3"/>
        <v>24</v>
      </c>
      <c r="I50" s="6" t="s">
        <v>81</v>
      </c>
      <c r="J50" s="5">
        <v>1</v>
      </c>
    </row>
    <row r="51" spans="1:10" x14ac:dyDescent="0.25">
      <c r="A51" s="4">
        <v>38</v>
      </c>
      <c r="B51" s="5" t="s">
        <v>80</v>
      </c>
      <c r="C51" s="5" t="s">
        <v>84</v>
      </c>
      <c r="D51" s="5" t="s">
        <v>38</v>
      </c>
      <c r="E51" s="23">
        <f>2.42*1.02*0.37</f>
        <v>0.91330800000000001</v>
      </c>
      <c r="F51" s="23">
        <f t="shared" si="2"/>
        <v>0.91330800000000001</v>
      </c>
      <c r="G51" s="5">
        <v>47</v>
      </c>
      <c r="H51" s="5">
        <f t="shared" si="3"/>
        <v>47</v>
      </c>
      <c r="I51" s="6" t="s">
        <v>83</v>
      </c>
      <c r="J51" s="5">
        <v>1</v>
      </c>
    </row>
    <row r="52" spans="1:10" x14ac:dyDescent="0.25">
      <c r="A52" s="4">
        <v>18</v>
      </c>
      <c r="B52" s="5" t="s">
        <v>61</v>
      </c>
      <c r="C52" s="5" t="s">
        <v>122</v>
      </c>
      <c r="D52" s="5" t="s">
        <v>123</v>
      </c>
      <c r="E52" s="23">
        <f>0.3*0.35*0.2</f>
        <v>2.1000000000000001E-2</v>
      </c>
      <c r="F52" s="23">
        <f t="shared" si="2"/>
        <v>4.2000000000000003E-2</v>
      </c>
      <c r="G52" s="5">
        <v>2.7</v>
      </c>
      <c r="H52" s="5">
        <f t="shared" si="3"/>
        <v>5.4</v>
      </c>
      <c r="I52" s="6" t="s">
        <v>118</v>
      </c>
      <c r="J52" s="5">
        <v>2</v>
      </c>
    </row>
    <row r="53" spans="1:10" x14ac:dyDescent="0.25">
      <c r="A53" s="4">
        <v>39</v>
      </c>
      <c r="B53" s="5" t="s">
        <v>59</v>
      </c>
      <c r="C53" s="5" t="s">
        <v>87</v>
      </c>
      <c r="D53" s="5" t="s">
        <v>38</v>
      </c>
      <c r="E53" s="23">
        <f>0.82*0.37*0.32</f>
        <v>9.7088000000000008E-2</v>
      </c>
      <c r="F53" s="23">
        <f t="shared" si="2"/>
        <v>9.7088000000000008E-2</v>
      </c>
      <c r="G53" s="5">
        <v>7</v>
      </c>
      <c r="H53" s="5">
        <f t="shared" si="3"/>
        <v>7</v>
      </c>
      <c r="I53" s="6" t="s">
        <v>86</v>
      </c>
      <c r="J53" s="5">
        <v>1</v>
      </c>
    </row>
    <row r="54" spans="1:10" x14ac:dyDescent="0.25">
      <c r="A54" s="4">
        <v>40</v>
      </c>
      <c r="B54" s="5" t="s">
        <v>90</v>
      </c>
      <c r="C54" s="5" t="s">
        <v>88</v>
      </c>
      <c r="D54" s="5" t="s">
        <v>38</v>
      </c>
      <c r="E54" s="23">
        <f>1.25*0.86*1</f>
        <v>1.075</v>
      </c>
      <c r="F54" s="23">
        <f t="shared" si="2"/>
        <v>1.075</v>
      </c>
      <c r="G54" s="5">
        <v>65</v>
      </c>
      <c r="H54" s="5">
        <f t="shared" si="3"/>
        <v>65</v>
      </c>
      <c r="I54" s="6" t="s">
        <v>89</v>
      </c>
      <c r="J54" s="5">
        <v>1</v>
      </c>
    </row>
    <row r="55" spans="1:10" x14ac:dyDescent="0.25">
      <c r="A55" s="4">
        <v>41</v>
      </c>
      <c r="B55" s="5" t="s">
        <v>98</v>
      </c>
      <c r="C55" s="5" t="s">
        <v>97</v>
      </c>
      <c r="D55" s="5" t="s">
        <v>38</v>
      </c>
      <c r="E55" s="23">
        <f>1.25*0.86*1</f>
        <v>1.075</v>
      </c>
      <c r="F55" s="23">
        <f t="shared" si="2"/>
        <v>1.075</v>
      </c>
      <c r="G55" s="5">
        <v>55</v>
      </c>
      <c r="H55" s="5">
        <f t="shared" si="3"/>
        <v>55</v>
      </c>
      <c r="I55" s="6" t="s">
        <v>89</v>
      </c>
      <c r="J55" s="5">
        <v>1</v>
      </c>
    </row>
    <row r="56" spans="1:10" x14ac:dyDescent="0.25">
      <c r="A56" s="4">
        <v>42</v>
      </c>
      <c r="B56" s="5" t="s">
        <v>95</v>
      </c>
      <c r="C56" s="5" t="s">
        <v>96</v>
      </c>
      <c r="D56" s="5" t="s">
        <v>38</v>
      </c>
      <c r="E56" s="23">
        <f>1.25*0.86*1.8</f>
        <v>1.9350000000000001</v>
      </c>
      <c r="F56" s="23">
        <f t="shared" si="2"/>
        <v>1.9350000000000001</v>
      </c>
      <c r="G56" s="5">
        <v>185</v>
      </c>
      <c r="H56" s="5">
        <f t="shared" si="3"/>
        <v>185</v>
      </c>
      <c r="I56" s="6" t="s">
        <v>94</v>
      </c>
      <c r="J56" s="5">
        <v>1</v>
      </c>
    </row>
    <row r="57" spans="1:10" x14ac:dyDescent="0.25">
      <c r="A57" s="4">
        <v>43</v>
      </c>
      <c r="B57" s="5" t="s">
        <v>101</v>
      </c>
      <c r="C57" s="5" t="s">
        <v>99</v>
      </c>
      <c r="D57" s="5" t="s">
        <v>38</v>
      </c>
      <c r="E57" s="23">
        <f>1.65*0.86*1</f>
        <v>1.4189999999999998</v>
      </c>
      <c r="F57" s="23">
        <f t="shared" si="2"/>
        <v>1.4189999999999998</v>
      </c>
      <c r="G57" s="5">
        <v>130</v>
      </c>
      <c r="H57" s="5">
        <f t="shared" si="3"/>
        <v>130</v>
      </c>
      <c r="I57" s="6" t="s">
        <v>100</v>
      </c>
      <c r="J57" s="5">
        <v>1</v>
      </c>
    </row>
    <row r="58" spans="1:10" x14ac:dyDescent="0.25">
      <c r="A58" s="4">
        <v>44</v>
      </c>
      <c r="B58" s="5" t="s">
        <v>93</v>
      </c>
      <c r="C58" s="5" t="s">
        <v>91</v>
      </c>
      <c r="D58" s="5" t="s">
        <v>38</v>
      </c>
      <c r="E58" s="23">
        <f>0.75*0.85*1</f>
        <v>0.63749999999999996</v>
      </c>
      <c r="F58" s="23">
        <f t="shared" si="2"/>
        <v>0.63749999999999996</v>
      </c>
      <c r="G58" s="5">
        <v>50</v>
      </c>
      <c r="H58" s="5">
        <f t="shared" si="3"/>
        <v>50</v>
      </c>
      <c r="I58" s="6" t="s">
        <v>92</v>
      </c>
      <c r="J58" s="5">
        <v>1</v>
      </c>
    </row>
    <row r="59" spans="1:10" x14ac:dyDescent="0.25">
      <c r="A59" s="4">
        <v>45</v>
      </c>
      <c r="B59" s="5" t="s">
        <v>104</v>
      </c>
      <c r="C59" s="5" t="s">
        <v>106</v>
      </c>
      <c r="D59" s="5" t="s">
        <v>105</v>
      </c>
      <c r="E59" s="23">
        <f>0.35*0.35*0.6</f>
        <v>7.3499999999999982E-2</v>
      </c>
      <c r="F59" s="23">
        <f t="shared" si="2"/>
        <v>7.3499999999999982E-2</v>
      </c>
      <c r="G59" s="5">
        <v>4</v>
      </c>
      <c r="H59" s="5">
        <f t="shared" si="3"/>
        <v>4</v>
      </c>
      <c r="I59" s="6" t="s">
        <v>102</v>
      </c>
      <c r="J59" s="5">
        <v>1</v>
      </c>
    </row>
    <row r="60" spans="1:10" x14ac:dyDescent="0.25">
      <c r="A60" s="4">
        <v>46</v>
      </c>
      <c r="B60" s="5" t="s">
        <v>108</v>
      </c>
      <c r="C60" s="5" t="s">
        <v>109</v>
      </c>
      <c r="D60" s="5" t="s">
        <v>130</v>
      </c>
      <c r="E60" s="23">
        <f>0.39*0.41*0.395</f>
        <v>6.3160499999999994E-2</v>
      </c>
      <c r="F60" s="23">
        <f t="shared" si="2"/>
        <v>6.3160499999999994E-2</v>
      </c>
      <c r="G60" s="5">
        <v>15</v>
      </c>
      <c r="H60" s="5">
        <f t="shared" si="3"/>
        <v>15</v>
      </c>
      <c r="I60" s="6" t="s">
        <v>107</v>
      </c>
      <c r="J60" s="5">
        <v>1</v>
      </c>
    </row>
    <row r="61" spans="1:10" x14ac:dyDescent="0.25">
      <c r="A61" s="4">
        <v>47</v>
      </c>
      <c r="B61" s="5" t="s">
        <v>134</v>
      </c>
      <c r="C61" s="5" t="s">
        <v>110</v>
      </c>
      <c r="D61" s="5" t="s">
        <v>111</v>
      </c>
      <c r="E61" s="23">
        <f>0.4*0.3*0.525</f>
        <v>6.3E-2</v>
      </c>
      <c r="F61" s="23">
        <f t="shared" si="2"/>
        <v>6.3E-2</v>
      </c>
      <c r="G61" s="5">
        <v>3.8</v>
      </c>
      <c r="H61" s="5">
        <f t="shared" si="3"/>
        <v>3.8</v>
      </c>
      <c r="I61" s="6" t="s">
        <v>112</v>
      </c>
      <c r="J61" s="5">
        <v>1</v>
      </c>
    </row>
    <row r="62" spans="1:10" x14ac:dyDescent="0.25">
      <c r="A62" s="4">
        <v>52</v>
      </c>
      <c r="B62" s="16" t="s">
        <v>208</v>
      </c>
      <c r="C62" s="16" t="s">
        <v>207</v>
      </c>
      <c r="D62" s="5" t="s">
        <v>105</v>
      </c>
      <c r="E62" s="24">
        <f>0.46*0.22*0.51</f>
        <v>5.1611999999999998E-2</v>
      </c>
      <c r="F62" s="23">
        <f t="shared" si="2"/>
        <v>5.1611999999999998E-2</v>
      </c>
      <c r="G62" s="5">
        <v>7</v>
      </c>
      <c r="H62" s="5">
        <f t="shared" si="3"/>
        <v>7</v>
      </c>
      <c r="I62" s="17" t="s">
        <v>210</v>
      </c>
      <c r="J62" s="5">
        <v>1</v>
      </c>
    </row>
    <row r="63" spans="1:10" x14ac:dyDescent="0.25">
      <c r="A63" s="4">
        <v>53</v>
      </c>
      <c r="B63" s="16" t="s">
        <v>212</v>
      </c>
      <c r="C63" s="16" t="s">
        <v>211</v>
      </c>
      <c r="D63" s="5" t="s">
        <v>105</v>
      </c>
      <c r="E63" s="24">
        <f>0.485*0.45*0.525</f>
        <v>0.11458125000000001</v>
      </c>
      <c r="F63" s="23">
        <f t="shared" si="2"/>
        <v>0.11458125000000001</v>
      </c>
      <c r="G63" s="5">
        <v>40</v>
      </c>
      <c r="H63" s="5">
        <f t="shared" si="3"/>
        <v>40</v>
      </c>
      <c r="I63" s="17" t="s">
        <v>214</v>
      </c>
      <c r="J63" s="5">
        <v>1</v>
      </c>
    </row>
    <row r="64" spans="1:10" x14ac:dyDescent="0.25">
      <c r="A64" s="5"/>
      <c r="B64" s="22" t="s">
        <v>220</v>
      </c>
      <c r="C64" s="5"/>
      <c r="D64" s="5"/>
      <c r="E64" s="23"/>
      <c r="F64" s="27">
        <f>SUM(F2:F63)</f>
        <v>24.424382992000002</v>
      </c>
      <c r="G64" s="5"/>
      <c r="H64" s="22">
        <f>SUM(H2:H63)</f>
        <v>3652.5</v>
      </c>
      <c r="I64" s="5"/>
      <c r="J64" s="5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Экспликация</vt:lpstr>
      <vt:lpstr>Спецификация</vt:lpstr>
      <vt:lpstr>ТК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ноутбук</dc:creator>
  <cp:lastModifiedBy>1</cp:lastModifiedBy>
  <cp:lastPrinted>2013-03-13T06:20:00Z</cp:lastPrinted>
  <dcterms:created xsi:type="dcterms:W3CDTF">2013-01-31T17:26:21Z</dcterms:created>
  <dcterms:modified xsi:type="dcterms:W3CDTF">2013-03-20T08:31:02Z</dcterms:modified>
</cp:coreProperties>
</file>